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tabRatio="684" activeTab="8"/>
  </bookViews>
  <sheets>
    <sheet name="time" sheetId="1" r:id="rId1"/>
    <sheet name="horiz" sheetId="2" r:id="rId2"/>
    <sheet name="tran" sheetId="3" r:id="rId3"/>
    <sheet name="plan" sheetId="4" r:id="rId4"/>
    <sheet name="osc kiev" sheetId="5" r:id="rId5"/>
    <sheet name="osc planeph" sheetId="6" r:id="rId6"/>
    <sheet name="sun" sheetId="7" r:id="rId7"/>
    <sheet name="sunr" sheetId="8" r:id="rId8"/>
    <sheet name="altitude graph" sheetId="9" r:id="rId9"/>
    <sheet name="moon" sheetId="10" r:id="rId10"/>
  </sheets>
  <definedNames>
    <definedName name="_xlnm.Print_Area" localSheetId="8">'altitude graph'!$A$1:$N$32</definedName>
    <definedName name="_xlnm.Print_Area" localSheetId="9">'moon'!$A$1:$K$41</definedName>
  </definedNames>
  <calcPr fullCalcOnLoad="1"/>
</workbook>
</file>

<file path=xl/comments1.xml><?xml version="1.0" encoding="utf-8"?>
<comments xmlns="http://schemas.openxmlformats.org/spreadsheetml/2006/main">
  <authors>
    <author>Keith Burnett</author>
  </authors>
  <commentList>
    <comment ref="E7" authorId="0">
      <text>
        <r>
          <rPr>
            <b/>
            <sz val="8"/>
            <rFont val="Tahoma"/>
            <family val="0"/>
          </rPr>
          <t>Good to 0.1 second 100 years either side of J2000. Truncated from Meeus 11.4</t>
        </r>
        <r>
          <rPr>
            <sz val="8"/>
            <rFont val="Tahoma"/>
            <family val="0"/>
          </rPr>
          <t xml:space="preserve">
</t>
        </r>
      </text>
    </comment>
    <comment ref="E5" authorId="0">
      <text>
        <r>
          <rPr>
            <b/>
            <sz val="8"/>
            <rFont val="Tahoma"/>
            <family val="0"/>
          </rPr>
          <t>Only works between 1901 to 2099</t>
        </r>
        <r>
          <rPr>
            <sz val="8"/>
            <rFont val="Tahoma"/>
            <family val="0"/>
          </rPr>
          <t xml:space="preserve">
</t>
        </r>
      </text>
    </comment>
    <comment ref="B5" authorId="0">
      <text>
        <r>
          <rPr>
            <b/>
            <sz val="8"/>
            <rFont val="Tahoma"/>
            <family val="0"/>
          </rPr>
          <t>West longitudes negative</t>
        </r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0"/>
          </rPr>
          <t>Time zones west of Greenwich taken as negative. Mostly whole numbers of hours but some half hours in Pakistan and India</t>
        </r>
      </text>
    </comment>
    <comment ref="B8" authorId="0">
      <text>
        <r>
          <rPr>
            <b/>
            <sz val="8"/>
            <rFont val="Tahoma"/>
            <family val="0"/>
          </rPr>
          <t>Daylight Saving Time tends to be applied in Summer at higher latitudes.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Keith Burnett</author>
  </authors>
  <commentList>
    <comment ref="B5" authorId="0">
      <text>
        <r>
          <rPr>
            <b/>
            <sz val="8"/>
            <rFont val="Tahoma"/>
            <family val="0"/>
          </rPr>
          <t>West longitudes negative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Keith Burnett</author>
  </authors>
  <commentList>
    <comment ref="B5" authorId="0">
      <text>
        <r>
          <rPr>
            <b/>
            <sz val="8"/>
            <rFont val="Tahoma"/>
            <family val="0"/>
          </rPr>
          <t>West longitudes negative</t>
        </r>
        <r>
          <rPr>
            <sz val="8"/>
            <rFont val="Tahoma"/>
            <family val="0"/>
          </rPr>
          <t xml:space="preserve">
</t>
        </r>
      </text>
    </comment>
    <comment ref="B18" authorId="0">
      <text>
        <r>
          <rPr>
            <b/>
            <sz val="8"/>
            <rFont val="Tahoma"/>
            <family val="0"/>
          </rPr>
          <t>Only works between 1901 to 2099</t>
        </r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0"/>
          </rPr>
          <t>Time zones west of Greenwich taken as negative. Mostly whole numbers of hours but some half hours in Pakistan and India</t>
        </r>
      </text>
    </comment>
    <comment ref="B20" authorId="0">
      <text>
        <r>
          <rPr>
            <b/>
            <sz val="8"/>
            <rFont val="Tahoma"/>
            <family val="0"/>
          </rPr>
          <t>Good to 0.1 second 100 years either side of J2000. Truncated from Meeus 11.4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rFont val="Tahoma"/>
            <family val="0"/>
          </rPr>
          <t>Daylight Saving Time tends to be applied in Summer at higher latitudes.</t>
        </r>
        <r>
          <rPr>
            <sz val="8"/>
            <rFont val="Tahoma"/>
            <family val="0"/>
          </rPr>
          <t xml:space="preserve">
</t>
        </r>
      </text>
    </comment>
    <comment ref="E8" authorId="0">
      <text>
        <r>
          <rPr>
            <b/>
            <sz val="8"/>
            <rFont val="Tahoma"/>
            <family val="0"/>
          </rPr>
          <t>precession formulas only good for 50 years either side of J2000.0 and for declinations that are not too great (less than 70 deg)</t>
        </r>
      </text>
    </comment>
  </commentList>
</comments>
</file>

<file path=xl/comments3.xml><?xml version="1.0" encoding="utf-8"?>
<comments xmlns="http://schemas.openxmlformats.org/spreadsheetml/2006/main">
  <authors>
    <author>Keith Burnett</author>
  </authors>
  <commentList>
    <comment ref="B5" authorId="0">
      <text>
        <r>
          <rPr>
            <b/>
            <sz val="8"/>
            <rFont val="Tahoma"/>
            <family val="0"/>
          </rPr>
          <t>West longitudes negative</t>
        </r>
        <r>
          <rPr>
            <sz val="8"/>
            <rFont val="Tahoma"/>
            <family val="0"/>
          </rPr>
          <t xml:space="preserve">
</t>
        </r>
      </text>
    </comment>
    <comment ref="B16" authorId="0">
      <text>
        <r>
          <rPr>
            <b/>
            <sz val="8"/>
            <rFont val="Tahoma"/>
            <family val="0"/>
          </rPr>
          <t>Only works between 1901 to 2099</t>
        </r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0"/>
          </rPr>
          <t>Time zones west of Greenwich taken as negative. Mostly whole numbers of hours but some half hours in Pakistan and India</t>
        </r>
      </text>
    </comment>
    <comment ref="B18" authorId="0">
      <text>
        <r>
          <rPr>
            <b/>
            <sz val="8"/>
            <rFont val="Tahoma"/>
            <family val="0"/>
          </rPr>
          <t>Good to 0.1 second 100 years either side of J2000. Truncated from Meeus 11.4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rFont val="Tahoma"/>
            <family val="0"/>
          </rPr>
          <t>Daylight Saving Time tends to be applied in Summer at higher latitudes.</t>
        </r>
        <r>
          <rPr>
            <sz val="8"/>
            <rFont val="Tahoma"/>
            <family val="0"/>
          </rPr>
          <t xml:space="preserve">
</t>
        </r>
      </text>
    </comment>
    <comment ref="E8" authorId="0">
      <text>
        <r>
          <rPr>
            <b/>
            <sz val="8"/>
            <rFont val="Tahoma"/>
            <family val="0"/>
          </rPr>
          <t>only accurate for 50 years either side of J2000 and for stars with declinations less than 40 degrees</t>
        </r>
      </text>
    </comment>
    <comment ref="F11" authorId="0">
      <text>
        <r>
          <rPr>
            <b/>
            <sz val="8"/>
            <rFont val="Tahoma"/>
            <family val="0"/>
          </rPr>
          <t>add the difference between LST at midnight and RA of object to find transit time, multiply by 0.997.. to get UT hours from midnight when transit occurs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Keith Burnett</author>
  </authors>
  <commentList>
    <comment ref="B5" authorId="0">
      <text>
        <r>
          <rPr>
            <b/>
            <sz val="8"/>
            <rFont val="Tahoma"/>
            <family val="0"/>
          </rPr>
          <t>West longitudes negative</t>
        </r>
        <r>
          <rPr>
            <sz val="8"/>
            <rFont val="Tahoma"/>
            <family val="0"/>
          </rPr>
          <t xml:space="preserve">
</t>
        </r>
      </text>
    </comment>
    <comment ref="B18" authorId="0">
      <text>
        <r>
          <rPr>
            <b/>
            <sz val="8"/>
            <rFont val="Tahoma"/>
            <family val="0"/>
          </rPr>
          <t>Only works between 1901 to 2099</t>
        </r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0"/>
          </rPr>
          <t>Time zones west of Greenwich taken as negative. Mostly whole numbers of hours but some half hours in Pakistan and India</t>
        </r>
      </text>
    </comment>
    <comment ref="B20" authorId="0">
      <text>
        <r>
          <rPr>
            <b/>
            <sz val="8"/>
            <rFont val="Tahoma"/>
            <family val="0"/>
          </rPr>
          <t>Good to 0.1 second 100 years either side of J2000. Truncated from Meeus 11.4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rFont val="Tahoma"/>
            <family val="0"/>
          </rPr>
          <t>Daylight Saving Time tends to be applied in Summer at higher latitudes.</t>
        </r>
        <r>
          <rPr>
            <sz val="8"/>
            <rFont val="Tahoma"/>
            <family val="0"/>
          </rPr>
          <t xml:space="preserve">
</t>
        </r>
      </text>
    </comment>
    <comment ref="D23" authorId="0">
      <text>
        <r>
          <rPr>
            <b/>
            <sz val="8"/>
            <rFont val="Tahoma"/>
            <family val="0"/>
          </rPr>
          <t>Strictly the Earth-Moon barycentre.</t>
        </r>
        <r>
          <rPr>
            <sz val="8"/>
            <rFont val="Tahoma"/>
            <family val="0"/>
          </rPr>
          <t xml:space="preserve">
</t>
        </r>
      </text>
    </comment>
    <comment ref="A24" authorId="0">
      <text>
        <r>
          <rPr>
            <b/>
            <sz val="8"/>
            <rFont val="Tahoma"/>
            <family val="0"/>
          </rPr>
          <t>Semi-major axis in au</t>
        </r>
      </text>
    </comment>
    <comment ref="A25" authorId="0">
      <text>
        <r>
          <rPr>
            <b/>
            <sz val="8"/>
            <rFont val="Tahoma"/>
            <family val="0"/>
          </rPr>
          <t>eccentricity of orbit (Mercury and Pluto need 5 term series for eq centre</t>
        </r>
      </text>
    </comment>
    <comment ref="A26" authorId="0">
      <text>
        <r>
          <rPr>
            <b/>
            <sz val="8"/>
            <rFont val="Tahoma"/>
            <family val="0"/>
          </rPr>
          <t xml:space="preserve">Inclination of orbital plane to ecliptic
</t>
        </r>
      </text>
    </comment>
    <comment ref="A27" authorId="0">
      <text>
        <r>
          <rPr>
            <sz val="8"/>
            <rFont val="Tahoma"/>
            <family val="0"/>
          </rPr>
          <t xml:space="preserve">longitude of ascending node of orbit measured from 1st pt aries
</t>
        </r>
      </text>
    </comment>
    <comment ref="A28" authorId="0">
      <text>
        <r>
          <rPr>
            <b/>
            <sz val="8"/>
            <rFont val="Tahoma"/>
            <family val="0"/>
          </rPr>
          <t>longitude of perihelion measured from 1st point of aries</t>
        </r>
        <r>
          <rPr>
            <sz val="8"/>
            <rFont val="Tahoma"/>
            <family val="0"/>
          </rPr>
          <t xml:space="preserve">
</t>
        </r>
      </text>
    </comment>
    <comment ref="A29" authorId="0">
      <text>
        <r>
          <rPr>
            <b/>
            <sz val="8"/>
            <rFont val="Tahoma"/>
            <family val="0"/>
          </rPr>
          <t>Mean longitude of planet on date</t>
        </r>
      </text>
    </comment>
    <comment ref="A45" authorId="0">
      <text>
        <r>
          <rPr>
            <b/>
            <sz val="8"/>
            <rFont val="Tahoma"/>
            <family val="0"/>
          </rPr>
          <t>J2000.0 figure, or put the formula for obliquity at date if you want positions referred to equinox of date</t>
        </r>
        <r>
          <rPr>
            <sz val="8"/>
            <rFont val="Tahoma"/>
            <family val="0"/>
          </rPr>
          <t xml:space="preserve">
</t>
        </r>
      </text>
    </comment>
    <comment ref="G5" authorId="0">
      <text>
        <r>
          <rPr>
            <b/>
            <sz val="8"/>
            <rFont val="Tahoma"/>
            <family val="0"/>
          </rPr>
          <t>distance from Earth</t>
        </r>
      </text>
    </comment>
    <comment ref="A32" authorId="0">
      <text>
        <r>
          <rPr>
            <sz val="8"/>
            <rFont val="Tahoma"/>
            <family val="0"/>
          </rPr>
          <t xml:space="preserve">Equation of centre taken to the 5th power here as Mercury and Pluto have eccentricities higher than 0.2 - half minute error worst case for these two planets.
</t>
        </r>
      </text>
    </comment>
  </commentList>
</comments>
</file>

<file path=xl/comments5.xml><?xml version="1.0" encoding="utf-8"?>
<comments xmlns="http://schemas.openxmlformats.org/spreadsheetml/2006/main">
  <authors>
    <author>Keith Burnett</author>
  </authors>
  <commentList>
    <comment ref="B7" authorId="0">
      <text>
        <r>
          <rPr>
            <b/>
            <sz val="8"/>
            <rFont val="Tahoma"/>
            <family val="0"/>
          </rPr>
          <t>West longitudes negative</t>
        </r>
        <r>
          <rPr>
            <sz val="8"/>
            <rFont val="Tahoma"/>
            <family val="0"/>
          </rPr>
          <t xml:space="preserve">
</t>
        </r>
      </text>
    </comment>
    <comment ref="B20" authorId="0">
      <text>
        <r>
          <rPr>
            <b/>
            <sz val="8"/>
            <rFont val="Tahoma"/>
            <family val="0"/>
          </rPr>
          <t>Only works between 1901 to 2099</t>
        </r>
        <r>
          <rPr>
            <sz val="8"/>
            <rFont val="Tahoma"/>
            <family val="0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0"/>
          </rPr>
          <t>Time zones west of Greenwich taken as negative. Mostly whole numbers of hours but some half hours in Pakistan and India</t>
        </r>
      </text>
    </comment>
    <comment ref="B22" authorId="0">
      <text>
        <r>
          <rPr>
            <b/>
            <sz val="8"/>
            <rFont val="Tahoma"/>
            <family val="0"/>
          </rPr>
          <t>Good to 0.1 second 100 years either side of J2000. Truncated from Meeus 11.4</t>
        </r>
        <r>
          <rPr>
            <sz val="8"/>
            <rFont val="Tahoma"/>
            <family val="0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0"/>
          </rPr>
          <t>Daylight Saving Time tends to be applied in Summer at higher latitudes.</t>
        </r>
        <r>
          <rPr>
            <sz val="8"/>
            <rFont val="Tahoma"/>
            <family val="0"/>
          </rPr>
          <t xml:space="preserve">
</t>
        </r>
      </text>
    </comment>
    <comment ref="G7" authorId="0">
      <text>
        <r>
          <rPr>
            <b/>
            <sz val="8"/>
            <rFont val="Tahoma"/>
            <family val="0"/>
          </rPr>
          <t>distance from Earth</t>
        </r>
      </text>
    </comment>
    <comment ref="H27" authorId="0">
      <text>
        <r>
          <rPr>
            <sz val="8"/>
            <rFont val="Tahoma"/>
            <family val="2"/>
          </rPr>
          <t xml:space="preserve">This is labelled as M and identified as 'mean anomaly' in the Kiev almanac. So mean anomaly days after the date of the elements is M = L - O + n*days
</t>
        </r>
      </text>
    </comment>
    <comment ref="B39" authorId="0">
      <text>
        <r>
          <rPr>
            <sz val="8"/>
            <rFont val="Tahoma"/>
            <family val="2"/>
          </rPr>
          <t>The real Mean anomaly
M' = M + n*days since date of elements</t>
        </r>
        <r>
          <rPr>
            <sz val="8"/>
            <rFont val="Tahoma"/>
            <family val="0"/>
          </rPr>
          <t xml:space="preserve">
</t>
        </r>
      </text>
    </comment>
    <comment ref="C39" authorId="0">
      <text>
        <r>
          <rPr>
            <sz val="8"/>
            <rFont val="Tahoma"/>
            <family val="0"/>
          </rPr>
          <t xml:space="preserve">Equation of centre to 5th power of eccentricity
</t>
        </r>
      </text>
    </comment>
  </commentList>
</comments>
</file>

<file path=xl/comments6.xml><?xml version="1.0" encoding="utf-8"?>
<comments xmlns="http://schemas.openxmlformats.org/spreadsheetml/2006/main">
  <authors>
    <author>Keith Burnett</author>
  </authors>
  <commentList>
    <comment ref="B7" authorId="0">
      <text>
        <r>
          <rPr>
            <b/>
            <sz val="8"/>
            <rFont val="Tahoma"/>
            <family val="0"/>
          </rPr>
          <t>West longitudes negative</t>
        </r>
        <r>
          <rPr>
            <sz val="8"/>
            <rFont val="Tahoma"/>
            <family val="0"/>
          </rPr>
          <t xml:space="preserve">
</t>
        </r>
      </text>
    </comment>
    <comment ref="B20" authorId="0">
      <text>
        <r>
          <rPr>
            <b/>
            <sz val="8"/>
            <rFont val="Tahoma"/>
            <family val="0"/>
          </rPr>
          <t>Only works between 1901 to 2099</t>
        </r>
        <r>
          <rPr>
            <sz val="8"/>
            <rFont val="Tahoma"/>
            <family val="0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0"/>
          </rPr>
          <t>Time zones west of Greenwich taken as negative. Mostly whole numbers of hours but some half hours in Pakistan and India</t>
        </r>
      </text>
    </comment>
    <comment ref="B22" authorId="0">
      <text>
        <r>
          <rPr>
            <b/>
            <sz val="8"/>
            <rFont val="Tahoma"/>
            <family val="0"/>
          </rPr>
          <t>Good to 0.1 second 100 years either side of J2000. Truncated from Meeus 11.4</t>
        </r>
        <r>
          <rPr>
            <sz val="8"/>
            <rFont val="Tahoma"/>
            <family val="0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0"/>
          </rPr>
          <t>Daylight Saving Time tends to be applied in Summer at higher latitudes.</t>
        </r>
        <r>
          <rPr>
            <sz val="8"/>
            <rFont val="Tahoma"/>
            <family val="0"/>
          </rPr>
          <t xml:space="preserve">
</t>
        </r>
      </text>
    </comment>
    <comment ref="G7" authorId="0">
      <text>
        <r>
          <rPr>
            <b/>
            <sz val="8"/>
            <rFont val="Tahoma"/>
            <family val="0"/>
          </rPr>
          <t>distance from Earth</t>
        </r>
      </text>
    </comment>
    <comment ref="H27" authorId="0">
      <text>
        <r>
          <rPr>
            <sz val="8"/>
            <rFont val="Tahoma"/>
            <family val="2"/>
          </rPr>
          <t xml:space="preserve">This is labelled as M and identified as 'mean anomaly' in the Kiev almanac. So mean anomaly days after the date of the elements is M = L - O + n*days
</t>
        </r>
      </text>
    </comment>
    <comment ref="B39" authorId="0">
      <text>
        <r>
          <rPr>
            <sz val="8"/>
            <rFont val="Tahoma"/>
            <family val="2"/>
          </rPr>
          <t>The real Mean anomaly
M' = M + n*days since date of elements</t>
        </r>
        <r>
          <rPr>
            <sz val="8"/>
            <rFont val="Tahoma"/>
            <family val="0"/>
          </rPr>
          <t xml:space="preserve">
</t>
        </r>
      </text>
    </comment>
    <comment ref="C39" authorId="0">
      <text>
        <r>
          <rPr>
            <sz val="8"/>
            <rFont val="Tahoma"/>
            <family val="0"/>
          </rPr>
          <t xml:space="preserve">Equation of centre to 5th power of eccentricity
</t>
        </r>
      </text>
    </comment>
  </commentList>
</comments>
</file>

<file path=xl/comments7.xml><?xml version="1.0" encoding="utf-8"?>
<comments xmlns="http://schemas.openxmlformats.org/spreadsheetml/2006/main">
  <authors>
    <author>Keith Burnett</author>
  </authors>
  <commentList>
    <comment ref="A32" authorId="0">
      <text>
        <r>
          <rPr>
            <b/>
            <sz val="8"/>
            <rFont val="Tahoma"/>
            <family val="0"/>
          </rPr>
          <t>apparent time minus mean time so positive when sundials ahead.</t>
        </r>
        <r>
          <rPr>
            <sz val="8"/>
            <rFont val="Tahoma"/>
            <family val="0"/>
          </rPr>
          <t xml:space="preserve">
</t>
        </r>
      </text>
    </comment>
    <comment ref="A24" authorId="0">
      <text>
        <r>
          <rPr>
            <b/>
            <sz val="8"/>
            <rFont val="Tahoma"/>
            <family val="0"/>
          </rPr>
          <t>Incudes aberration</t>
        </r>
        <r>
          <rPr>
            <sz val="8"/>
            <rFont val="Tahoma"/>
            <family val="0"/>
          </rPr>
          <t xml:space="preserve">
</t>
        </r>
      </text>
    </comment>
    <comment ref="A27" authorId="0">
      <text>
        <r>
          <rPr>
            <b/>
            <sz val="8"/>
            <rFont val="Tahoma"/>
            <family val="0"/>
          </rPr>
          <t>Zero by definition to good accuracy.</t>
        </r>
        <r>
          <rPr>
            <sz val="8"/>
            <rFont val="Tahoma"/>
            <family val="0"/>
          </rPr>
          <t xml:space="preserve">
</t>
        </r>
      </text>
    </comment>
    <comment ref="A28" authorId="0">
      <text>
        <r>
          <rPr>
            <b/>
            <sz val="8"/>
            <rFont val="Tahoma"/>
            <family val="0"/>
          </rPr>
          <t xml:space="preserve">Very approximate formula good enough for few centuries either side of J2000
</t>
        </r>
        <r>
          <rPr>
            <sz val="8"/>
            <rFont val="Tahoma"/>
            <family val="0"/>
          </rPr>
          <t xml:space="preserve">
</t>
        </r>
      </text>
    </comment>
    <comment ref="A30" authorId="0">
      <text>
        <r>
          <rPr>
            <b/>
            <sz val="8"/>
            <rFont val="Tahoma"/>
            <family val="0"/>
          </rPr>
          <t>Obtained direct from series (for a giggle)</t>
        </r>
        <r>
          <rPr>
            <sz val="8"/>
            <rFont val="Tahoma"/>
            <family val="0"/>
          </rPr>
          <t xml:space="preserve">
</t>
        </r>
      </text>
    </comment>
    <comment ref="A29" authorId="0">
      <text>
        <r>
          <rPr>
            <b/>
            <sz val="8"/>
            <rFont val="Tahoma"/>
            <family val="0"/>
          </rPr>
          <t xml:space="preserve">Argument for RA by series
</t>
        </r>
        <r>
          <rPr>
            <sz val="8"/>
            <rFont val="Tahoma"/>
            <family val="0"/>
          </rPr>
          <t xml:space="preserve">
</t>
        </r>
      </text>
    </comment>
    <comment ref="D9" authorId="0">
      <text>
        <r>
          <rPr>
            <b/>
            <sz val="8"/>
            <rFont val="Tahoma"/>
            <family val="0"/>
          </rPr>
          <t>apparent time minus mean time so positive when sundials ahead.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Keith Burnett</author>
  </authors>
  <commentList>
    <comment ref="B5" authorId="0">
      <text>
        <r>
          <rPr>
            <b/>
            <sz val="8"/>
            <rFont val="Tahoma"/>
            <family val="0"/>
          </rPr>
          <t>West longitudes negative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Keith Burnett</author>
  </authors>
  <commentList>
    <comment ref="K58" authorId="0">
      <text>
        <r>
          <rPr>
            <sz val="8"/>
            <rFont val="Tahoma"/>
            <family val="2"/>
          </rPr>
          <t>No refraction yet</t>
        </r>
      </text>
    </comment>
    <comment ref="A6" authorId="0">
      <text>
        <r>
          <rPr>
            <sz val="8"/>
            <rFont val="Tahoma"/>
            <family val="2"/>
          </rPr>
          <t>West negative
East positive
Decimal degrees</t>
        </r>
      </text>
    </comment>
    <comment ref="A7" authorId="0">
      <text>
        <r>
          <rPr>
            <sz val="8"/>
            <rFont val="Tahoma"/>
            <family val="2"/>
          </rPr>
          <t>East (ahead of UT) positive
West (behind UT) negative
Decimal hours</t>
        </r>
      </text>
    </comment>
    <comment ref="A8" authorId="0">
      <text>
        <r>
          <rPr>
            <sz val="8"/>
            <rFont val="Tahoma"/>
            <family val="2"/>
          </rPr>
          <t>Same sense as TZ, so set to 1 for 'spring forward' and 0 for 'fall back'</t>
        </r>
      </text>
    </comment>
    <comment ref="C71" authorId="0">
      <text>
        <r>
          <rPr>
            <sz val="8"/>
            <rFont val="Tahoma"/>
            <family val="2"/>
          </rPr>
          <t>This row used in moon phase calculation.</t>
        </r>
      </text>
    </comment>
  </commentList>
</comments>
</file>

<file path=xl/sharedStrings.xml><?xml version="1.0" encoding="utf-8"?>
<sst xmlns="http://schemas.openxmlformats.org/spreadsheetml/2006/main" count="653" uniqueCount="338">
  <si>
    <t>Time</t>
  </si>
  <si>
    <t>Rise, transit and set of a star</t>
  </si>
  <si>
    <t>Planet positions</t>
  </si>
  <si>
    <t>Year</t>
  </si>
  <si>
    <t>Day</t>
  </si>
  <si>
    <t>Month</t>
  </si>
  <si>
    <t>Hour</t>
  </si>
  <si>
    <t>Minute</t>
  </si>
  <si>
    <t>Time zone</t>
  </si>
  <si>
    <t>DST</t>
  </si>
  <si>
    <t>Julian centuries</t>
  </si>
  <si>
    <t>Longitude</t>
  </si>
  <si>
    <t>Latitude</t>
  </si>
  <si>
    <t>UT Days since J2000.0</t>
  </si>
  <si>
    <t>Mean LST</t>
  </si>
  <si>
    <t>Station</t>
  </si>
  <si>
    <t>Local date and time</t>
  </si>
  <si>
    <t>Astronomical parameters</t>
  </si>
  <si>
    <t>Horizon coordinates</t>
  </si>
  <si>
    <t>Object</t>
  </si>
  <si>
    <t>Azimuth</t>
  </si>
  <si>
    <t>Altitude</t>
  </si>
  <si>
    <t>RA J2000  (decimal hrs)</t>
  </si>
  <si>
    <t>Dec J2000 (decimal degrees)</t>
  </si>
  <si>
    <t>RA (date)</t>
  </si>
  <si>
    <t>Dec (date)</t>
  </si>
  <si>
    <t>deg</t>
  </si>
  <si>
    <t>rad</t>
  </si>
  <si>
    <t>Hour Angle</t>
  </si>
  <si>
    <t>sin</t>
  </si>
  <si>
    <t>cos</t>
  </si>
  <si>
    <t>y</t>
  </si>
  <si>
    <t>x</t>
  </si>
  <si>
    <t>A'</t>
  </si>
  <si>
    <t>Mercury</t>
  </si>
  <si>
    <t>Venus</t>
  </si>
  <si>
    <t>Earth</t>
  </si>
  <si>
    <t>Mars</t>
  </si>
  <si>
    <t>Jupiter</t>
  </si>
  <si>
    <t>Saturn</t>
  </si>
  <si>
    <t>Neptune</t>
  </si>
  <si>
    <t>Uranus</t>
  </si>
  <si>
    <t>Pluto</t>
  </si>
  <si>
    <t>a</t>
  </si>
  <si>
    <t>e</t>
  </si>
  <si>
    <t>Om</t>
  </si>
  <si>
    <t>w</t>
  </si>
  <si>
    <t>L</t>
  </si>
  <si>
    <t>Mean elements (J2000.0)</t>
  </si>
  <si>
    <t>i</t>
  </si>
  <si>
    <t>Star</t>
  </si>
  <si>
    <t>zone date</t>
  </si>
  <si>
    <t>Transit time (zone)</t>
  </si>
  <si>
    <t>Mathematical horizon - no allowance for refraction</t>
  </si>
  <si>
    <t>Day number and LST of zone midnight</t>
  </si>
  <si>
    <t>Semi-diurnal arc</t>
  </si>
  <si>
    <t>Astronomical time</t>
  </si>
  <si>
    <t>Position in orbit</t>
  </si>
  <si>
    <t>Mean anomaly</t>
  </si>
  <si>
    <t>True anomaly (rads)</t>
  </si>
  <si>
    <t>True anomaly (degs)</t>
  </si>
  <si>
    <t>Radius Vector (au)</t>
  </si>
  <si>
    <t>Heliocentric coords</t>
  </si>
  <si>
    <t>X</t>
  </si>
  <si>
    <t>Y</t>
  </si>
  <si>
    <t>Z</t>
  </si>
  <si>
    <t>Geocentric ecliptic coords</t>
  </si>
  <si>
    <t>X'</t>
  </si>
  <si>
    <t>Y'</t>
  </si>
  <si>
    <t>Z'</t>
  </si>
  <si>
    <t>Geocentric equatorial coords</t>
  </si>
  <si>
    <t>J2000.0 obliquity</t>
  </si>
  <si>
    <t>rads</t>
  </si>
  <si>
    <t>Xe</t>
  </si>
  <si>
    <t>Ye</t>
  </si>
  <si>
    <t>Ze</t>
  </si>
  <si>
    <t>declination (rads)</t>
  </si>
  <si>
    <t>right ascension (rads)</t>
  </si>
  <si>
    <t>ra (hours)</t>
  </si>
  <si>
    <t>dec (degs)</t>
  </si>
  <si>
    <t>Results</t>
  </si>
  <si>
    <t>RA</t>
  </si>
  <si>
    <t>Dec</t>
  </si>
  <si>
    <t>R (au)</t>
  </si>
  <si>
    <t>Re-worked from a BASIC program by George Rosenberg (ALPO), with libration and topocentric corrections from Meeus and other formulas from Duffett-Smith</t>
  </si>
  <si>
    <t>Altitude of Sun over selected features</t>
  </si>
  <si>
    <t>Lunar feature</t>
  </si>
  <si>
    <t>Lat</t>
  </si>
  <si>
    <t>Long</t>
  </si>
  <si>
    <t>Alt</t>
  </si>
  <si>
    <t>Dummy</t>
  </si>
  <si>
    <t>Plato (centre)</t>
  </si>
  <si>
    <t>Albategnius</t>
  </si>
  <si>
    <t>Alphonsus</t>
  </si>
  <si>
    <t>Archimedes</t>
  </si>
  <si>
    <t>Arzachel</t>
  </si>
  <si>
    <t>Cleomedes (north of Mare Crisium)</t>
  </si>
  <si>
    <t>Copernicus</t>
  </si>
  <si>
    <t>Cyrillus</t>
  </si>
  <si>
    <t>Numerical Results</t>
  </si>
  <si>
    <t>Geocentric</t>
  </si>
  <si>
    <t>Topocentric</t>
  </si>
  <si>
    <t>Deslandres</t>
  </si>
  <si>
    <t>Co-longitude of Sun</t>
  </si>
  <si>
    <t>Endymion</t>
  </si>
  <si>
    <t>Libration in latitude (Bo)</t>
  </si>
  <si>
    <t>Eratosthenes</t>
  </si>
  <si>
    <t>Libration in longitude (Lo)</t>
  </si>
  <si>
    <t>Eudoxus</t>
  </si>
  <si>
    <t>Sub solar point (Ls)</t>
  </si>
  <si>
    <t>Fabricus</t>
  </si>
  <si>
    <t>Sub solar point (Bs)</t>
  </si>
  <si>
    <t>Maurolycus</t>
  </si>
  <si>
    <t>Longitude of terminator (+ Crisium)</t>
  </si>
  <si>
    <t>Messier</t>
  </si>
  <si>
    <t>Nature of terminator</t>
  </si>
  <si>
    <t>Montes Apenninus</t>
  </si>
  <si>
    <t>Illuminated Fraction</t>
  </si>
  <si>
    <t>Montes Caucasus</t>
  </si>
  <si>
    <t>PA of bright limb</t>
  </si>
  <si>
    <t>Pitatus (within Mare Nubium)</t>
  </si>
  <si>
    <t>Parallactic angle</t>
  </si>
  <si>
    <t>Ptolemaeus</t>
  </si>
  <si>
    <t>PA of axis</t>
  </si>
  <si>
    <t>Rupes Recta</t>
  </si>
  <si>
    <t>Theophilus</t>
  </si>
  <si>
    <t>Tycho</t>
  </si>
  <si>
    <t>Werner</t>
  </si>
  <si>
    <t>Days before J2000.0</t>
  </si>
  <si>
    <t>LST (degs and rads)</t>
  </si>
  <si>
    <t>Centuries</t>
  </si>
  <si>
    <t>Sun position</t>
  </si>
  <si>
    <t>degs</t>
  </si>
  <si>
    <t>Mean longitude (L)</t>
  </si>
  <si>
    <t>Mean anomaly (M)</t>
  </si>
  <si>
    <t>Equation of centre (C)</t>
  </si>
  <si>
    <t>True anomaly (V)</t>
  </si>
  <si>
    <t>Eccentricity (Ec)</t>
  </si>
  <si>
    <t>Sun distance</t>
  </si>
  <si>
    <t>Theta (true longitude)</t>
  </si>
  <si>
    <t>Long Asc Node (Omega)</t>
  </si>
  <si>
    <t>Lambda (apparent longitude)</t>
  </si>
  <si>
    <t>Obliquity of ecliptic</t>
  </si>
  <si>
    <t>Alpha (Right Ascension)</t>
  </si>
  <si>
    <t>Delta (Declination)</t>
  </si>
  <si>
    <t>Moon position</t>
  </si>
  <si>
    <t>Argument of latitude (F)</t>
  </si>
  <si>
    <t>Mean longitude (L')</t>
  </si>
  <si>
    <t>Long. Asc. Node (Om')</t>
  </si>
  <si>
    <t>Mean anomaly (M')</t>
  </si>
  <si>
    <t>Mean elongation (D)</t>
  </si>
  <si>
    <t xml:space="preserve"> twice mean elongation (2*D)</t>
  </si>
  <si>
    <t>Lunar distance (same units)</t>
  </si>
  <si>
    <t>Distance ratio (Sun / Moon)</t>
  </si>
  <si>
    <t>Geocentric Latitude of Moon</t>
  </si>
  <si>
    <t>Longitude corrections</t>
  </si>
  <si>
    <t>Longitude of Moon</t>
  </si>
  <si>
    <t>Heliocentric longitude</t>
  </si>
  <si>
    <t>Heliocentric latitude</t>
  </si>
  <si>
    <t>Right Ascension</t>
  </si>
  <si>
    <t>Declination</t>
  </si>
  <si>
    <t xml:space="preserve">Selenographic coords of sub-earth point </t>
  </si>
  <si>
    <t>I</t>
  </si>
  <si>
    <t>W</t>
  </si>
  <si>
    <t>A</t>
  </si>
  <si>
    <t>Lo</t>
  </si>
  <si>
    <t>Bo</t>
  </si>
  <si>
    <t xml:space="preserve">Selenographic coords of sub-solar point </t>
  </si>
  <si>
    <t>Ls</t>
  </si>
  <si>
    <t>Bs</t>
  </si>
  <si>
    <t>Illuminated fraction of Moon</t>
  </si>
  <si>
    <t>Psi</t>
  </si>
  <si>
    <t>K</t>
  </si>
  <si>
    <t>Moon's illuminated disc</t>
  </si>
  <si>
    <t>xi (position angle of bright limb)</t>
  </si>
  <si>
    <t>hour angle of Moon</t>
  </si>
  <si>
    <t>q (parallactic angle)</t>
  </si>
  <si>
    <t>PA of rotation axis</t>
  </si>
  <si>
    <t>(Neglects physical libration, so Meeus' angle V is same as Omega for Moon)</t>
  </si>
  <si>
    <t>P</t>
  </si>
  <si>
    <t>Topocentric corrections</t>
  </si>
  <si>
    <t>q</t>
  </si>
  <si>
    <t>z</t>
  </si>
  <si>
    <t>pi (parallax of Moon)</t>
  </si>
  <si>
    <t>pi' (topocentric parallax)</t>
  </si>
  <si>
    <t>dl (libration in longitude)</t>
  </si>
  <si>
    <t>db ( libration in latitude)</t>
  </si>
  <si>
    <t>dP (PA of rot axis)</t>
  </si>
  <si>
    <t>Sunrise</t>
  </si>
  <si>
    <t>Output</t>
  </si>
  <si>
    <t>Event UT</t>
  </si>
  <si>
    <t>Event zone time</t>
  </si>
  <si>
    <t>Days since J2000</t>
  </si>
  <si>
    <t xml:space="preserve">Centuries </t>
  </si>
  <si>
    <t>Notes</t>
  </si>
  <si>
    <t>time zone</t>
  </si>
  <si>
    <t>Set B11 to -18 for astronomical twilight,</t>
  </si>
  <si>
    <t>Required alt</t>
  </si>
  <si>
    <t>and -12 for nautical twilight, -6 for civil twilight</t>
  </si>
  <si>
    <t>Rise or set</t>
  </si>
  <si>
    <t>Set B12 to -1 for setting events, or 1 for rising events</t>
  </si>
  <si>
    <t>Calculation tables (formulas in radians)</t>
  </si>
  <si>
    <t xml:space="preserve">note - conversion to radians </t>
  </si>
  <si>
    <t>G</t>
  </si>
  <si>
    <t>must be kept to full 16 digits for L</t>
  </si>
  <si>
    <t>ec</t>
  </si>
  <si>
    <t>otherwise serious errors</t>
  </si>
  <si>
    <t>lambda</t>
  </si>
  <si>
    <t>E</t>
  </si>
  <si>
    <t>obl</t>
  </si>
  <si>
    <t>delta</t>
  </si>
  <si>
    <t>GHA</t>
  </si>
  <si>
    <t>cosc</t>
  </si>
  <si>
    <t>correction</t>
  </si>
  <si>
    <t>utnew</t>
  </si>
  <si>
    <t>new centuries</t>
  </si>
  <si>
    <t>Local date</t>
  </si>
  <si>
    <t>Event</t>
  </si>
  <si>
    <t>Iteration method - not good for latitudes higher than 60 degrees</t>
  </si>
  <si>
    <t>Seconds change</t>
  </si>
  <si>
    <t>Sun series</t>
  </si>
  <si>
    <t>Mean anomaly (g)</t>
  </si>
  <si>
    <r>
      <t>Ecliptic longitude (</t>
    </r>
    <r>
      <rPr>
        <sz val="10"/>
        <rFont val="Symbol"/>
        <family val="1"/>
      </rPr>
      <t>l</t>
    </r>
    <r>
      <rPr>
        <sz val="10"/>
        <rFont val="Arial"/>
        <family val="0"/>
      </rPr>
      <t>)</t>
    </r>
  </si>
  <si>
    <r>
      <t>Ecliptic latitude (</t>
    </r>
    <r>
      <rPr>
        <sz val="10"/>
        <rFont val="Symbol"/>
        <family val="1"/>
      </rPr>
      <t>b</t>
    </r>
    <r>
      <rPr>
        <sz val="10"/>
        <rFont val="Arial"/>
        <family val="0"/>
      </rPr>
      <t>)</t>
    </r>
  </si>
  <si>
    <r>
      <t>Obliquity of the ecliptic (</t>
    </r>
    <r>
      <rPr>
        <sz val="10"/>
        <rFont val="Symbol"/>
        <family val="1"/>
      </rPr>
      <t>e</t>
    </r>
    <r>
      <rPr>
        <sz val="10"/>
        <rFont val="Arial"/>
        <family val="0"/>
      </rPr>
      <t>)</t>
    </r>
  </si>
  <si>
    <r>
      <t>Right ascension (</t>
    </r>
    <r>
      <rPr>
        <sz val="10"/>
        <rFont val="Symbol"/>
        <family val="1"/>
      </rPr>
      <t>a</t>
    </r>
    <r>
      <rPr>
        <sz val="10"/>
        <rFont val="Arial"/>
        <family val="0"/>
      </rPr>
      <t>)</t>
    </r>
  </si>
  <si>
    <r>
      <t>Declination (</t>
    </r>
    <r>
      <rPr>
        <sz val="10"/>
        <rFont val="Symbol"/>
        <family val="1"/>
      </rPr>
      <t>d</t>
    </r>
    <r>
      <rPr>
        <sz val="10"/>
        <rFont val="Arial"/>
        <family val="0"/>
      </rPr>
      <t>)</t>
    </r>
  </si>
  <si>
    <t>Equation of time (E)</t>
  </si>
  <si>
    <t>Degs</t>
  </si>
  <si>
    <t>Rads</t>
  </si>
  <si>
    <t>f, t</t>
  </si>
  <si>
    <t>Equation of time (E) degs</t>
  </si>
  <si>
    <t>Earth-Sun distance (R) in au</t>
  </si>
  <si>
    <t>Semidiameter</t>
  </si>
  <si>
    <t>Sun coordinates</t>
  </si>
  <si>
    <t>Earth-Sun distance (R)</t>
  </si>
  <si>
    <t>Semidiameter (d)</t>
  </si>
  <si>
    <t>hrs</t>
  </si>
  <si>
    <t>minutes</t>
  </si>
  <si>
    <t>au</t>
  </si>
  <si>
    <t>arcminutes</t>
  </si>
  <si>
    <t>by definition</t>
  </si>
  <si>
    <t>Series given in Astronomical Almanac page C24 and explanatory supplement - equinox and ecliptic of date</t>
  </si>
  <si>
    <t>Accuracy</t>
  </si>
  <si>
    <t>Good to 0.01 degree for 50 years either side of J2000</t>
  </si>
  <si>
    <t>Moon ephemeris</t>
  </si>
  <si>
    <t>hh:mm</t>
  </si>
  <si>
    <t>Positions referred to equinox and mean ecliptic of J2000.0. Geocentric coords based on method on Paul Schlyter's page</t>
  </si>
  <si>
    <t>1st iter</t>
  </si>
  <si>
    <t>2nd iter</t>
  </si>
  <si>
    <t>3rd iter</t>
  </si>
  <si>
    <t>4th iter</t>
  </si>
  <si>
    <t>Using the osculating elements for the planets valid for July 30th 2003</t>
  </si>
  <si>
    <t>Date of elements</t>
  </si>
  <si>
    <t>Format of the element section matches that of the element table in the AA and the Kiev online almanac</t>
  </si>
  <si>
    <t>Osculating elements</t>
  </si>
  <si>
    <t>yr</t>
  </si>
  <si>
    <t>m</t>
  </si>
  <si>
    <t>d</t>
  </si>
  <si>
    <t>Planet</t>
  </si>
  <si>
    <t>O</t>
  </si>
  <si>
    <t>p</t>
  </si>
  <si>
    <t>n</t>
  </si>
  <si>
    <t>M</t>
  </si>
  <si>
    <t>since J2K</t>
  </si>
  <si>
    <t>since date</t>
  </si>
  <si>
    <t>r</t>
  </si>
  <si>
    <t>V</t>
  </si>
  <si>
    <t>Heliocentric positions</t>
  </si>
  <si>
    <t>Geocentric ecliptic positions</t>
  </si>
  <si>
    <t>xe</t>
  </si>
  <si>
    <t>ye</t>
  </si>
  <si>
    <t>ze</t>
  </si>
  <si>
    <t>ra(deg)</t>
  </si>
  <si>
    <t>dec(deg)</t>
  </si>
  <si>
    <t>M'</t>
  </si>
  <si>
    <t>ra(h)</t>
  </si>
  <si>
    <t>Geocentric equatorial coordinates (J2000.0)</t>
  </si>
  <si>
    <t>Equatorial coords (precessed to equinox and ecliptic of date using an approximate formula)</t>
  </si>
  <si>
    <t>Positions referred to equinox and mean ecliptic of date. Geocentric coords based on method on Paul Schlyter's page</t>
  </si>
  <si>
    <t>Using the osculating elements for the planets valid for July 30th 2003 calculated using the planeph program</t>
  </si>
  <si>
    <t>Sun and moon altitude during a given day</t>
  </si>
  <si>
    <t>Based on a spreadsheet idea by Thomas Kraus</t>
  </si>
  <si>
    <t>Station data</t>
  </si>
  <si>
    <t>TZ</t>
  </si>
  <si>
    <t>Date</t>
  </si>
  <si>
    <t>Moon phase</t>
  </si>
  <si>
    <t>% lit</t>
  </si>
  <si>
    <t>Sun</t>
  </si>
  <si>
    <t>Moon</t>
  </si>
  <si>
    <t>Keith Burnett</t>
  </si>
  <si>
    <t>kburnett@btinternet.com</t>
  </si>
  <si>
    <t>http://www.btinternet.com/~kepler/</t>
  </si>
  <si>
    <t>See also</t>
  </si>
  <si>
    <t>Thomas Kraus's collection of astronomical Excel spreadsheets at</t>
  </si>
  <si>
    <t>http://www.astroexcel.de/</t>
  </si>
  <si>
    <t>Constants</t>
  </si>
  <si>
    <t>Moon phase calculation (based on 12h row for date)</t>
  </si>
  <si>
    <t>Days since J2000.0</t>
  </si>
  <si>
    <t>phi</t>
  </si>
  <si>
    <t>Centuries since J2000.0</t>
  </si>
  <si>
    <t>R (km)</t>
  </si>
  <si>
    <t>LST (degs)</t>
  </si>
  <si>
    <t>r (km)</t>
  </si>
  <si>
    <t>epsilon</t>
  </si>
  <si>
    <t>R.sin(phi)</t>
  </si>
  <si>
    <t>f</t>
  </si>
  <si>
    <t>r - R.cos(phi)</t>
  </si>
  <si>
    <t>T</t>
  </si>
  <si>
    <t>percent</t>
  </si>
  <si>
    <t>Sun (C24 formulae)</t>
  </si>
  <si>
    <t>Moon (D46 low precision formulae)</t>
  </si>
  <si>
    <t>topocentric coords</t>
  </si>
  <si>
    <t>topocentric alt of moon</t>
  </si>
  <si>
    <t>hour</t>
  </si>
  <si>
    <t>days</t>
  </si>
  <si>
    <t xml:space="preserve">lsun </t>
  </si>
  <si>
    <t>g</t>
  </si>
  <si>
    <t>rasun</t>
  </si>
  <si>
    <t>decsun</t>
  </si>
  <si>
    <t>hasun</t>
  </si>
  <si>
    <t>sinsunalt</t>
  </si>
  <si>
    <t>sunalt</t>
  </si>
  <si>
    <t>t</t>
  </si>
  <si>
    <t>beta</t>
  </si>
  <si>
    <t>pi</t>
  </si>
  <si>
    <t>l</t>
  </si>
  <si>
    <t>ramoon</t>
  </si>
  <si>
    <t>decmoon</t>
  </si>
  <si>
    <t>x'</t>
  </si>
  <si>
    <t>y'</t>
  </si>
  <si>
    <t>z'</t>
  </si>
  <si>
    <t>r'</t>
  </si>
  <si>
    <t>ramoon'</t>
  </si>
  <si>
    <t>decmoon'</t>
  </si>
  <si>
    <t>hamoon'</t>
  </si>
  <si>
    <t>sinmoonalt'</t>
  </si>
  <si>
    <t>moonalt'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</si>
</sst>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"/>
    <numFmt numFmtId="166" formatCode="00"/>
    <numFmt numFmtId="167" formatCode="0.000000"/>
    <numFmt numFmtId="168" formatCode="0.00000000"/>
    <numFmt numFmtId="169" formatCode="0.00000000000"/>
    <numFmt numFmtId="170" formatCode="0.000000000000"/>
    <numFmt numFmtId="171" formatCode="h:mm"/>
    <numFmt numFmtId="172" formatCode="0.000"/>
    <numFmt numFmtId="173" formatCode="0.00000"/>
    <numFmt numFmtId="174" formatCode="0.0;[Red]0.0"/>
    <numFmt numFmtId="175" formatCode="0.0_ ;[Red]\-0.0\ "/>
    <numFmt numFmtId="176" formatCode="0.00_ ;[Red]\-0.00\ "/>
    <numFmt numFmtId="177" formatCode="0.0000000000000000"/>
    <numFmt numFmtId="178" formatCode="0.0000000000000"/>
    <numFmt numFmtId="179" formatCode="0.00000000000000"/>
    <numFmt numFmtId="180" formatCode="0.000000000"/>
    <numFmt numFmtId="181" formatCode="0.0000000"/>
    <numFmt numFmtId="182" formatCode="h:mm:ss"/>
    <numFmt numFmtId="183" formatCode="00.0"/>
  </numFmts>
  <fonts count="1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10"/>
      <name val="Arial"/>
      <family val="2"/>
    </font>
    <font>
      <i/>
      <sz val="8"/>
      <name val="Arial"/>
      <family val="2"/>
    </font>
    <font>
      <sz val="10"/>
      <name val="Symbol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6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67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16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172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3" xfId="0" applyNumberFormat="1" applyBorder="1" applyAlignment="1">
      <alignment/>
    </xf>
    <xf numFmtId="0" fontId="0" fillId="0" borderId="5" xfId="0" applyBorder="1" applyAlignment="1">
      <alignment horizontal="center"/>
    </xf>
    <xf numFmtId="172" fontId="0" fillId="0" borderId="6" xfId="0" applyNumberForma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 horizontal="right"/>
    </xf>
    <xf numFmtId="165" fontId="0" fillId="0" borderId="6" xfId="0" applyNumberFormat="1" applyBorder="1" applyAlignment="1">
      <alignment/>
    </xf>
    <xf numFmtId="175" fontId="0" fillId="0" borderId="7" xfId="0" applyNumberFormat="1" applyBorder="1" applyAlignment="1">
      <alignment/>
    </xf>
    <xf numFmtId="178" fontId="0" fillId="0" borderId="0" xfId="0" applyNumberFormat="1" applyAlignment="1">
      <alignment/>
    </xf>
    <xf numFmtId="0" fontId="0" fillId="0" borderId="7" xfId="0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7" fontId="0" fillId="0" borderId="0" xfId="0" applyNumberFormat="1" applyAlignment="1">
      <alignment/>
    </xf>
    <xf numFmtId="179" fontId="0" fillId="0" borderId="0" xfId="0" applyNumberFormat="1" applyAlignment="1">
      <alignment/>
    </xf>
    <xf numFmtId="167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166" fontId="0" fillId="0" borderId="0" xfId="0" applyNumberFormat="1" applyFill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72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171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180" fontId="0" fillId="0" borderId="0" xfId="0" applyNumberFormat="1" applyAlignment="1">
      <alignment/>
    </xf>
    <xf numFmtId="173" fontId="0" fillId="0" borderId="0" xfId="0" applyNumberFormat="1" applyAlignment="1">
      <alignment/>
    </xf>
    <xf numFmtId="167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0" borderId="2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2" fillId="0" borderId="2" xfId="0" applyFont="1" applyBorder="1" applyAlignment="1">
      <alignment/>
    </xf>
    <xf numFmtId="164" fontId="0" fillId="0" borderId="1" xfId="0" applyNumberFormat="1" applyBorder="1" applyAlignment="1">
      <alignment horizontal="center"/>
    </xf>
    <xf numFmtId="0" fontId="2" fillId="0" borderId="0" xfId="0" applyFont="1" applyAlignment="1">
      <alignment/>
    </xf>
    <xf numFmtId="164" fontId="0" fillId="0" borderId="1" xfId="0" applyNumberFormat="1" applyBorder="1" applyAlignment="1">
      <alignment/>
    </xf>
    <xf numFmtId="164" fontId="0" fillId="0" borderId="6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top"/>
    </xf>
    <xf numFmtId="0" fontId="0" fillId="0" borderId="8" xfId="0" applyFont="1" applyFill="1" applyBorder="1" applyAlignment="1">
      <alignment horizontal="right"/>
    </xf>
    <xf numFmtId="0" fontId="0" fillId="0" borderId="8" xfId="0" applyFont="1" applyFill="1" applyBorder="1" applyAlignment="1">
      <alignment/>
    </xf>
    <xf numFmtId="172" fontId="0" fillId="0" borderId="8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8" xfId="0" applyBorder="1" applyAlignment="1">
      <alignment/>
    </xf>
    <xf numFmtId="183" fontId="0" fillId="0" borderId="8" xfId="0" applyNumberFormat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2" xfId="0" applyFill="1" applyBorder="1" applyAlignment="1">
      <alignment/>
    </xf>
    <xf numFmtId="165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wrapText="1"/>
    </xf>
    <xf numFmtId="172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73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 wrapText="1"/>
    </xf>
    <xf numFmtId="172" fontId="0" fillId="2" borderId="0" xfId="0" applyNumberFormat="1" applyFill="1" applyAlignment="1">
      <alignment horizontal="center"/>
    </xf>
    <xf numFmtId="0" fontId="8" fillId="3" borderId="11" xfId="0" applyFont="1" applyFill="1" applyBorder="1" applyAlignment="1">
      <alignment/>
    </xf>
    <xf numFmtId="0" fontId="2" fillId="3" borderId="12" xfId="0" applyFont="1" applyFill="1" applyBorder="1" applyAlignment="1">
      <alignment/>
    </xf>
    <xf numFmtId="0" fontId="8" fillId="4" borderId="8" xfId="0" applyFont="1" applyFill="1" applyBorder="1" applyAlignment="1">
      <alignment/>
    </xf>
    <xf numFmtId="0" fontId="8" fillId="3" borderId="8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Sun altitude</c:v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6600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'altitude graph'!$C$59:$C$83</c:f>
              <c:numCache/>
            </c:numRef>
          </c:xVal>
          <c:yVal>
            <c:numRef>
              <c:f>'altitude graph'!$L$59:$L$83</c:f>
              <c:numCache/>
            </c:numRef>
          </c:yVal>
          <c:smooth val="1"/>
        </c:ser>
        <c:ser>
          <c:idx val="1"/>
          <c:order val="1"/>
          <c:tx>
            <c:v>Topocentric moon altitude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'altitude graph'!$C$59:$C$83</c:f>
              <c:numCache/>
            </c:numRef>
          </c:xVal>
          <c:yVal>
            <c:numRef>
              <c:f>'altitude graph'!$AG$59:$AG$83</c:f>
              <c:numCache/>
            </c:numRef>
          </c:yVal>
          <c:smooth val="1"/>
        </c:ser>
        <c:axId val="32066053"/>
        <c:axId val="20159022"/>
      </c:scatterChart>
      <c:valAx>
        <c:axId val="32066053"/>
        <c:scaling>
          <c:orientation val="minMax"/>
          <c:max val="24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none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159022"/>
        <c:crossesAt val="-18"/>
        <c:crossBetween val="midCat"/>
        <c:dispUnits/>
        <c:majorUnit val="1"/>
        <c:minorUnit val="0.25"/>
      </c:valAx>
      <c:valAx>
        <c:axId val="20159022"/>
        <c:scaling>
          <c:orientation val="minMax"/>
          <c:max val="90"/>
          <c:min val="-18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066053"/>
        <c:crosses val="autoZero"/>
        <c:crossBetween val="midCat"/>
        <c:dispUnits/>
        <c:majorUnit val="6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3</xdr:row>
      <xdr:rowOff>9525</xdr:rowOff>
    </xdr:from>
    <xdr:to>
      <xdr:col>12</xdr:col>
      <xdr:colOff>542925</xdr:colOff>
      <xdr:row>24</xdr:row>
      <xdr:rowOff>66675</xdr:rowOff>
    </xdr:to>
    <xdr:grpSp>
      <xdr:nvGrpSpPr>
        <xdr:cNvPr id="1" name="Group 2"/>
        <xdr:cNvGrpSpPr>
          <a:grpSpLocks/>
        </xdr:cNvGrpSpPr>
      </xdr:nvGrpSpPr>
      <xdr:grpSpPr>
        <a:xfrm>
          <a:off x="1152525" y="561975"/>
          <a:ext cx="6029325" cy="3457575"/>
          <a:chOff x="108" y="59"/>
          <a:chExt cx="623" cy="363"/>
        </a:xfrm>
        <a:solidFill>
          <a:srgbClr val="FFFFFF"/>
        </a:solidFill>
      </xdr:grpSpPr>
      <xdr:graphicFrame>
        <xdr:nvGraphicFramePr>
          <xdr:cNvPr id="2" name="Chart 3"/>
          <xdr:cNvGraphicFramePr/>
        </xdr:nvGraphicFramePr>
        <xdr:xfrm>
          <a:off x="108" y="59"/>
          <a:ext cx="623" cy="36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Line 4"/>
          <xdr:cNvSpPr>
            <a:spLocks/>
          </xdr:cNvSpPr>
        </xdr:nvSpPr>
        <xdr:spPr>
          <a:xfrm>
            <a:off x="148" y="332"/>
            <a:ext cx="562" cy="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21</xdr:row>
      <xdr:rowOff>28575</xdr:rowOff>
    </xdr:from>
    <xdr:to>
      <xdr:col>1</xdr:col>
      <xdr:colOff>295275</xdr:colOff>
      <xdr:row>21</xdr:row>
      <xdr:rowOff>133350</xdr:rowOff>
    </xdr:to>
    <xdr:grpSp>
      <xdr:nvGrpSpPr>
        <xdr:cNvPr id="4" name="Group 8"/>
        <xdr:cNvGrpSpPr>
          <a:grpSpLocks/>
        </xdr:cNvGrpSpPr>
      </xdr:nvGrpSpPr>
      <xdr:grpSpPr>
        <a:xfrm>
          <a:off x="571500" y="3495675"/>
          <a:ext cx="247650" cy="104775"/>
          <a:chOff x="58" y="299"/>
          <a:chExt cx="26" cy="11"/>
        </a:xfrm>
        <a:solidFill>
          <a:srgbClr val="FFFFFF"/>
        </a:solidFill>
      </xdr:grpSpPr>
      <xdr:sp>
        <xdr:nvSpPr>
          <xdr:cNvPr id="5" name="Oval 9"/>
          <xdr:cNvSpPr>
            <a:spLocks/>
          </xdr:cNvSpPr>
        </xdr:nvSpPr>
        <xdr:spPr>
          <a:xfrm>
            <a:off x="64" y="299"/>
            <a:ext cx="11" cy="11"/>
          </a:xfrm>
          <a:prstGeom prst="ellipse">
            <a:avLst/>
          </a:prstGeom>
          <a:solidFill>
            <a:srgbClr val="FF66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10"/>
          <xdr:cNvSpPr>
            <a:spLocks/>
          </xdr:cNvSpPr>
        </xdr:nvSpPr>
        <xdr:spPr>
          <a:xfrm>
            <a:off x="58" y="305"/>
            <a:ext cx="26" cy="0"/>
          </a:xfrm>
          <a:prstGeom prst="line">
            <a:avLst/>
          </a:prstGeom>
          <a:noFill/>
          <a:ln w="9525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22</xdr:row>
      <xdr:rowOff>47625</xdr:rowOff>
    </xdr:from>
    <xdr:to>
      <xdr:col>1</xdr:col>
      <xdr:colOff>295275</xdr:colOff>
      <xdr:row>22</xdr:row>
      <xdr:rowOff>114300</xdr:rowOff>
    </xdr:to>
    <xdr:grpSp>
      <xdr:nvGrpSpPr>
        <xdr:cNvPr id="7" name="Group 11"/>
        <xdr:cNvGrpSpPr>
          <a:grpSpLocks/>
        </xdr:cNvGrpSpPr>
      </xdr:nvGrpSpPr>
      <xdr:grpSpPr>
        <a:xfrm>
          <a:off x="571500" y="3676650"/>
          <a:ext cx="247650" cy="66675"/>
          <a:chOff x="55" y="333"/>
          <a:chExt cx="26" cy="7"/>
        </a:xfrm>
        <a:solidFill>
          <a:srgbClr val="FFFFFF"/>
        </a:solidFill>
      </xdr:grpSpPr>
      <xdr:sp>
        <xdr:nvSpPr>
          <xdr:cNvPr id="8" name="Oval 12"/>
          <xdr:cNvSpPr>
            <a:spLocks/>
          </xdr:cNvSpPr>
        </xdr:nvSpPr>
        <xdr:spPr>
          <a:xfrm>
            <a:off x="64" y="333"/>
            <a:ext cx="7" cy="7"/>
          </a:xfrm>
          <a:prstGeom prst="ellipse">
            <a:avLst/>
          </a:prstGeom>
          <a:solidFill>
            <a:srgbClr val="8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13"/>
          <xdr:cNvSpPr>
            <a:spLocks/>
          </xdr:cNvSpPr>
        </xdr:nvSpPr>
        <xdr:spPr>
          <a:xfrm>
            <a:off x="55" y="337"/>
            <a:ext cx="26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E9" sqref="E9"/>
    </sheetView>
  </sheetViews>
  <sheetFormatPr defaultColWidth="9.140625" defaultRowHeight="12.75"/>
  <cols>
    <col min="1" max="1" width="20.140625" style="0" bestFit="1" customWidth="1"/>
    <col min="2" max="2" width="9.57421875" style="0" bestFit="1" customWidth="1"/>
    <col min="4" max="4" width="28.421875" style="0" customWidth="1"/>
    <col min="5" max="5" width="10.57421875" style="0" bestFit="1" customWidth="1"/>
  </cols>
  <sheetData>
    <row r="1" ht="18">
      <c r="A1" s="1" t="s">
        <v>0</v>
      </c>
    </row>
    <row r="4" spans="1:4" ht="12.75">
      <c r="A4" s="7" t="s">
        <v>15</v>
      </c>
      <c r="D4" s="7" t="s">
        <v>56</v>
      </c>
    </row>
    <row r="5" spans="1:5" ht="12.75">
      <c r="A5" s="2" t="s">
        <v>11</v>
      </c>
      <c r="B5" s="3">
        <f>-(87+40/60)</f>
        <v>-87.66666666666667</v>
      </c>
      <c r="D5" s="2" t="s">
        <v>13</v>
      </c>
      <c r="E5" s="9">
        <f>367*B11-INT(7*(B11+INT((B12+9)/12))/4)+INT(275*B12/9)+B13+(B14+B15/60)/24-730531.5+(-B7+B8)/24</f>
        <v>680.9749999999767</v>
      </c>
    </row>
    <row r="6" spans="1:5" ht="12.75">
      <c r="A6" s="2" t="s">
        <v>12</v>
      </c>
      <c r="B6" s="3">
        <f>(41+29/60)</f>
        <v>41.483333333333334</v>
      </c>
      <c r="D6" s="2" t="s">
        <v>10</v>
      </c>
      <c r="E6" s="9">
        <f>E5/36525</f>
        <v>0.018644079397672188</v>
      </c>
    </row>
    <row r="7" spans="1:5" ht="12.75">
      <c r="A7" s="2" t="s">
        <v>8</v>
      </c>
      <c r="B7" s="4">
        <v>0</v>
      </c>
      <c r="D7" s="2" t="s">
        <v>14</v>
      </c>
      <c r="E7" s="9">
        <f>MOD(280.46061837+360.98564736629*E5+B5,360)</f>
        <v>134.99516695426428</v>
      </c>
    </row>
    <row r="8" spans="1:5" ht="12.75">
      <c r="A8" s="2" t="s">
        <v>9</v>
      </c>
      <c r="B8" s="4">
        <v>0</v>
      </c>
      <c r="D8" s="2"/>
      <c r="E8" s="3"/>
    </row>
    <row r="9" spans="1:5" ht="12.75">
      <c r="A9" s="2"/>
      <c r="B9" s="4"/>
      <c r="D9" s="2"/>
      <c r="E9" s="3"/>
    </row>
    <row r="10" spans="1:2" ht="12.75">
      <c r="A10" s="8" t="s">
        <v>16</v>
      </c>
      <c r="B10" s="3"/>
    </row>
    <row r="11" spans="1:2" ht="12.75">
      <c r="A11" s="2" t="s">
        <v>3</v>
      </c>
      <c r="B11" s="5">
        <v>2001</v>
      </c>
    </row>
    <row r="12" spans="1:2" ht="12.75">
      <c r="A12" s="2" t="s">
        <v>5</v>
      </c>
      <c r="B12" s="6">
        <v>11</v>
      </c>
    </row>
    <row r="13" spans="1:2" ht="12.75">
      <c r="A13" s="2" t="s">
        <v>4</v>
      </c>
      <c r="B13" s="6">
        <v>12</v>
      </c>
    </row>
    <row r="14" spans="1:2" ht="12.75">
      <c r="A14" s="2" t="s">
        <v>6</v>
      </c>
      <c r="B14" s="6">
        <v>11</v>
      </c>
    </row>
    <row r="15" spans="1:2" ht="12.75">
      <c r="A15" s="2" t="s">
        <v>7</v>
      </c>
      <c r="B15" s="6">
        <v>24</v>
      </c>
    </row>
    <row r="16" spans="1:2" ht="12.75">
      <c r="A16" s="2"/>
      <c r="B16" s="3"/>
    </row>
    <row r="21" spans="1:2" ht="12.75">
      <c r="A21" s="2"/>
      <c r="B21" s="3"/>
    </row>
  </sheetData>
  <printOptions/>
  <pageMargins left="0.75" right="0.75" top="1" bottom="1" header="0.5" footer="0.5"/>
  <pageSetup horizontalDpi="360" verticalDpi="36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43"/>
  <sheetViews>
    <sheetView workbookViewId="0" topLeftCell="A1">
      <selection activeCell="D88" sqref="D88"/>
    </sheetView>
  </sheetViews>
  <sheetFormatPr defaultColWidth="9.140625" defaultRowHeight="12.75"/>
  <cols>
    <col min="1" max="1" width="31.140625" style="0" customWidth="1"/>
    <col min="2" max="2" width="11.57421875" style="0" bestFit="1" customWidth="1"/>
    <col min="3" max="3" width="14.57421875" style="0" bestFit="1" customWidth="1"/>
    <col min="4" max="4" width="12.421875" style="0" bestFit="1" customWidth="1"/>
    <col min="5" max="5" width="29.8515625" style="0" customWidth="1"/>
    <col min="6" max="6" width="8.421875" style="0" customWidth="1"/>
    <col min="7" max="7" width="6.140625" style="0" customWidth="1"/>
    <col min="8" max="8" width="7.00390625" style="0" customWidth="1"/>
  </cols>
  <sheetData>
    <row r="1" ht="18">
      <c r="A1" s="1" t="s">
        <v>245</v>
      </c>
    </row>
    <row r="2" ht="12.75">
      <c r="A2" s="27" t="s">
        <v>84</v>
      </c>
    </row>
    <row r="3" spans="1:10" ht="12.75">
      <c r="A3" s="10"/>
      <c r="G3" s="2"/>
      <c r="J3" s="2"/>
    </row>
    <row r="4" spans="1:5" ht="12.75">
      <c r="A4" s="7" t="s">
        <v>15</v>
      </c>
      <c r="E4" s="7" t="s">
        <v>85</v>
      </c>
    </row>
    <row r="5" spans="1:13" ht="12.75">
      <c r="A5" s="43" t="s">
        <v>11</v>
      </c>
      <c r="B5" s="3">
        <v>-1.9167</v>
      </c>
      <c r="E5" s="19" t="s">
        <v>86</v>
      </c>
      <c r="F5" s="25" t="s">
        <v>87</v>
      </c>
      <c r="G5" s="25" t="s">
        <v>88</v>
      </c>
      <c r="H5" s="22" t="s">
        <v>89</v>
      </c>
      <c r="M5" t="s">
        <v>90</v>
      </c>
    </row>
    <row r="6" spans="1:13" ht="12.75">
      <c r="A6" s="43" t="s">
        <v>12</v>
      </c>
      <c r="B6" s="3">
        <v>52.5</v>
      </c>
      <c r="E6" s="2" t="s">
        <v>91</v>
      </c>
      <c r="F6" s="29">
        <v>51.6</v>
      </c>
      <c r="G6" s="29">
        <v>-9.4</v>
      </c>
      <c r="H6" s="30">
        <f>DEGREES(ATAN(M23/SQRT(1-M23*M23)))</f>
        <v>34.621886969660416</v>
      </c>
      <c r="M6">
        <f aca="true" t="shared" si="0" ref="M6:M22">SIN($C$107)*SIN(RADIANS(F7))+COS($C$107)*COS(RADIANS(F7))*SIN(RADIANS($B$19+G7))</f>
        <v>0.8017474475201228</v>
      </c>
    </row>
    <row r="7" spans="1:13" ht="12.75">
      <c r="A7" s="41" t="s">
        <v>8</v>
      </c>
      <c r="B7" s="44">
        <v>0</v>
      </c>
      <c r="E7" s="2" t="s">
        <v>92</v>
      </c>
      <c r="F7" s="29">
        <v>-11.2</v>
      </c>
      <c r="G7" s="29">
        <v>4.1</v>
      </c>
      <c r="H7" s="30">
        <f aca="true" t="shared" si="1" ref="H7:H23">DEGREES(ATAN(M6/SQRT(1-M6*M6)))</f>
        <v>53.29729679692851</v>
      </c>
      <c r="M7">
        <f t="shared" si="0"/>
        <v>0.8595853695120476</v>
      </c>
    </row>
    <row r="8" spans="1:13" ht="12.75">
      <c r="A8" s="41" t="s">
        <v>9</v>
      </c>
      <c r="B8" s="44">
        <v>0</v>
      </c>
      <c r="E8" s="2" t="s">
        <v>93</v>
      </c>
      <c r="F8" s="29">
        <v>-13.7</v>
      </c>
      <c r="G8" s="29">
        <v>-3.2</v>
      </c>
      <c r="H8" s="30">
        <f t="shared" si="1"/>
        <v>59.27006003432658</v>
      </c>
      <c r="M8">
        <f t="shared" si="0"/>
        <v>0.7667655039896584</v>
      </c>
    </row>
    <row r="9" spans="5:13" ht="12.75">
      <c r="E9" s="2" t="s">
        <v>94</v>
      </c>
      <c r="F9" s="29">
        <v>29.7</v>
      </c>
      <c r="G9" s="29">
        <v>-4</v>
      </c>
      <c r="H9" s="30">
        <f t="shared" si="1"/>
        <v>50.064315810343686</v>
      </c>
      <c r="M9">
        <f t="shared" si="0"/>
        <v>0.8309782420312105</v>
      </c>
    </row>
    <row r="10" spans="1:13" ht="12.75">
      <c r="A10" s="7" t="s">
        <v>16</v>
      </c>
      <c r="E10" s="2" t="s">
        <v>95</v>
      </c>
      <c r="F10" s="29">
        <v>-18.2</v>
      </c>
      <c r="G10" s="29">
        <v>-1.9</v>
      </c>
      <c r="H10" s="30">
        <f t="shared" si="1"/>
        <v>56.199358629197</v>
      </c>
      <c r="M10">
        <f t="shared" si="0"/>
        <v>0.044801478925000596</v>
      </c>
    </row>
    <row r="11" spans="1:13" ht="12.75">
      <c r="A11" s="43" t="s">
        <v>3</v>
      </c>
      <c r="B11" s="42">
        <v>2002</v>
      </c>
      <c r="E11" s="2" t="s">
        <v>96</v>
      </c>
      <c r="F11" s="29">
        <v>27.7</v>
      </c>
      <c r="G11" s="29">
        <v>55.5</v>
      </c>
      <c r="H11" s="30">
        <f t="shared" si="1"/>
        <v>2.567795148671834</v>
      </c>
      <c r="M11">
        <f t="shared" si="0"/>
        <v>0.968357406333776</v>
      </c>
    </row>
    <row r="12" spans="1:13" ht="12.75">
      <c r="A12" s="43" t="s">
        <v>5</v>
      </c>
      <c r="B12" s="44">
        <v>12</v>
      </c>
      <c r="E12" s="2" t="s">
        <v>97</v>
      </c>
      <c r="F12" s="29">
        <v>9.7</v>
      </c>
      <c r="G12" s="29">
        <v>-21.1</v>
      </c>
      <c r="H12" s="30">
        <f t="shared" si="1"/>
        <v>75.54807986162191</v>
      </c>
      <c r="M12">
        <f t="shared" si="0"/>
        <v>0.5568160909404453</v>
      </c>
    </row>
    <row r="13" spans="1:13" ht="12.75">
      <c r="A13" s="43" t="s">
        <v>4</v>
      </c>
      <c r="B13" s="44">
        <v>22</v>
      </c>
      <c r="E13" s="2" t="s">
        <v>98</v>
      </c>
      <c r="F13" s="29">
        <v>-13.2</v>
      </c>
      <c r="G13" s="29">
        <v>24</v>
      </c>
      <c r="H13" s="30">
        <f t="shared" si="1"/>
        <v>33.83589393502618</v>
      </c>
      <c r="M13">
        <f t="shared" si="0"/>
        <v>0.7630690439218552</v>
      </c>
    </row>
    <row r="14" spans="1:13" ht="12.75">
      <c r="A14" s="43" t="s">
        <v>6</v>
      </c>
      <c r="B14" s="44">
        <v>0</v>
      </c>
      <c r="D14" s="31"/>
      <c r="E14" s="2" t="s">
        <v>102</v>
      </c>
      <c r="F14" s="29">
        <v>-32.5</v>
      </c>
      <c r="G14" s="29">
        <v>-5.2</v>
      </c>
      <c r="H14" s="30">
        <f t="shared" si="1"/>
        <v>49.73551018986988</v>
      </c>
      <c r="M14">
        <f t="shared" si="0"/>
        <v>0.01452235025115091</v>
      </c>
    </row>
    <row r="15" spans="1:13" ht="12.75">
      <c r="A15" s="43" t="s">
        <v>7</v>
      </c>
      <c r="B15" s="44">
        <v>0</v>
      </c>
      <c r="E15" s="2" t="s">
        <v>104</v>
      </c>
      <c r="F15" s="29">
        <v>53.6</v>
      </c>
      <c r="G15" s="29">
        <v>56.5</v>
      </c>
      <c r="H15" s="30">
        <f t="shared" si="1"/>
        <v>0.8320986278300871</v>
      </c>
      <c r="M15">
        <f t="shared" si="0"/>
        <v>0.907183241042937</v>
      </c>
    </row>
    <row r="16" spans="5:13" ht="12.75">
      <c r="E16" s="2" t="s">
        <v>106</v>
      </c>
      <c r="F16" s="29">
        <v>14.5</v>
      </c>
      <c r="G16" s="29">
        <v>-11.3</v>
      </c>
      <c r="H16" s="30">
        <f t="shared" si="1"/>
        <v>65.11895313544885</v>
      </c>
      <c r="M16">
        <f t="shared" si="0"/>
        <v>0.4754065137507751</v>
      </c>
    </row>
    <row r="17" spans="1:13" ht="12.75">
      <c r="A17" s="45" t="s">
        <v>99</v>
      </c>
      <c r="E17" s="2" t="s">
        <v>108</v>
      </c>
      <c r="F17" s="29">
        <v>44.3</v>
      </c>
      <c r="G17" s="29">
        <v>16.3</v>
      </c>
      <c r="H17" s="30">
        <f t="shared" si="1"/>
        <v>28.385821396030767</v>
      </c>
      <c r="M17">
        <f t="shared" si="0"/>
        <v>0.21780488780119384</v>
      </c>
    </row>
    <row r="18" spans="2:13" ht="12.75">
      <c r="B18" s="46" t="s">
        <v>100</v>
      </c>
      <c r="C18" s="46" t="s">
        <v>101</v>
      </c>
      <c r="E18" s="2" t="s">
        <v>110</v>
      </c>
      <c r="F18" s="29">
        <v>-42.9</v>
      </c>
      <c r="G18" s="29">
        <v>42</v>
      </c>
      <c r="H18" s="30">
        <f t="shared" si="1"/>
        <v>12.58013613147348</v>
      </c>
      <c r="M18">
        <f t="shared" si="0"/>
        <v>0.5314521787481249</v>
      </c>
    </row>
    <row r="19" spans="1:13" ht="12.75">
      <c r="A19" s="47" t="s">
        <v>103</v>
      </c>
      <c r="B19" s="48">
        <f>IF(B105&lt;90,90-B105,450-B105)</f>
        <v>121.28429388616047</v>
      </c>
      <c r="C19" s="33"/>
      <c r="E19" s="2" t="s">
        <v>112</v>
      </c>
      <c r="F19" s="29">
        <v>-41.8</v>
      </c>
      <c r="G19" s="29">
        <v>14</v>
      </c>
      <c r="H19" s="30">
        <f t="shared" si="1"/>
        <v>32.103625299426845</v>
      </c>
      <c r="M19">
        <f t="shared" si="0"/>
        <v>0.19302121555315208</v>
      </c>
    </row>
    <row r="20" spans="1:13" ht="12.75">
      <c r="A20" s="47" t="s">
        <v>105</v>
      </c>
      <c r="B20" s="49">
        <f>B97</f>
        <v>-4.988413516780561</v>
      </c>
      <c r="C20" s="49">
        <f>B20+B139</f>
        <v>-4.577925972104078</v>
      </c>
      <c r="E20" s="2" t="s">
        <v>114</v>
      </c>
      <c r="F20" s="29">
        <v>-1.9</v>
      </c>
      <c r="G20" s="29">
        <v>47.6</v>
      </c>
      <c r="H20" s="30">
        <f t="shared" si="1"/>
        <v>11.129151640714255</v>
      </c>
      <c r="M20">
        <f t="shared" si="0"/>
        <v>0.8238774456223785</v>
      </c>
    </row>
    <row r="21" spans="1:13" ht="12.75">
      <c r="A21" s="47" t="s">
        <v>107</v>
      </c>
      <c r="B21" s="49">
        <f>B95</f>
        <v>-5.164023454131076</v>
      </c>
      <c r="C21" s="49">
        <f>B21+B138</f>
        <v>-4.768772729719135</v>
      </c>
      <c r="E21" s="2" t="s">
        <v>116</v>
      </c>
      <c r="F21" s="29">
        <v>20</v>
      </c>
      <c r="G21" s="29">
        <v>-3</v>
      </c>
      <c r="H21" s="30">
        <f t="shared" si="1"/>
        <v>55.474846014860006</v>
      </c>
      <c r="M21">
        <f t="shared" si="0"/>
        <v>0.5949062572937455</v>
      </c>
    </row>
    <row r="22" spans="1:13" ht="12.75">
      <c r="A22" s="47" t="s">
        <v>109</v>
      </c>
      <c r="B22" s="49">
        <f>B105</f>
        <v>328.71570611383953</v>
      </c>
      <c r="C22" s="49"/>
      <c r="E22" s="2" t="s">
        <v>118</v>
      </c>
      <c r="F22" s="29">
        <v>39</v>
      </c>
      <c r="G22" s="29">
        <v>8</v>
      </c>
      <c r="H22" s="30">
        <f t="shared" si="1"/>
        <v>36.505949683064664</v>
      </c>
      <c r="M22">
        <f t="shared" si="0"/>
        <v>0.8314507055854906</v>
      </c>
    </row>
    <row r="23" spans="1:13" ht="12.75">
      <c r="A23" s="47" t="s">
        <v>111</v>
      </c>
      <c r="B23" s="49">
        <f>B107</f>
        <v>-0.5993109531464159</v>
      </c>
      <c r="C23" s="49"/>
      <c r="E23" s="2" t="s">
        <v>120</v>
      </c>
      <c r="F23" s="29">
        <v>-29.8</v>
      </c>
      <c r="G23" s="29">
        <v>-13.5</v>
      </c>
      <c r="H23" s="30">
        <f t="shared" si="1"/>
        <v>56.24805020599986</v>
      </c>
      <c r="M23">
        <f>SIN($C$107)*SIN(RADIANS(F6))+COS($C$107)*COS(RADIANS(F6))*SIN(RADIANS($B$19+G6))</f>
        <v>0.5681581414470602</v>
      </c>
    </row>
    <row r="24" spans="1:13" ht="12.75">
      <c r="A24" s="47" t="s">
        <v>113</v>
      </c>
      <c r="B24" s="49">
        <f>IF(AND(B19&gt;90,B19&lt;270),180-B19,(IF(B19&lt;90,0-B19,360-B19)))</f>
        <v>58.71570611383953</v>
      </c>
      <c r="C24" s="49"/>
      <c r="E24" s="2" t="s">
        <v>122</v>
      </c>
      <c r="F24" s="29">
        <v>-9.2</v>
      </c>
      <c r="G24" s="29">
        <v>-1.8</v>
      </c>
      <c r="H24" s="30">
        <f>DEGREES(ATAN(M24/SQRT(1-M24*M24)))</f>
        <v>59.4198349835581</v>
      </c>
      <c r="M24">
        <f>SIN($C$107)*SIN(RADIANS(F24))+COS($C$107)*COS(RADIANS(F24))*SIN(RADIANS($B$19+G24))</f>
        <v>0.8609181983173465</v>
      </c>
    </row>
    <row r="25" spans="1:13" ht="12.75">
      <c r="A25" s="47" t="s">
        <v>115</v>
      </c>
      <c r="B25" s="50" t="str">
        <f>IF(OR(B19&lt;90,B19&gt;270),"sunrise","sunset")</f>
        <v>sunset</v>
      </c>
      <c r="C25" s="33"/>
      <c r="E25" s="2" t="s">
        <v>124</v>
      </c>
      <c r="F25" s="29">
        <v>-22</v>
      </c>
      <c r="G25" s="29">
        <v>-7</v>
      </c>
      <c r="H25" s="30">
        <f>DEGREES(ATAN(M25/SQRT(1-M25*M25)))</f>
        <v>58.104699063156495</v>
      </c>
      <c r="M25">
        <f>SIN($C$107)*SIN(RADIANS(F25))+COS($C$107)*COS(RADIANS(F25))*SIN(RADIANS($B$19+G25))</f>
        <v>0.8490150241808925</v>
      </c>
    </row>
    <row r="26" spans="1:13" ht="12.75">
      <c r="A26" s="47" t="s">
        <v>117</v>
      </c>
      <c r="B26" s="33">
        <f>B116</f>
        <v>0.9476651592346723</v>
      </c>
      <c r="C26" s="33"/>
      <c r="E26" s="2" t="s">
        <v>125</v>
      </c>
      <c r="F26" s="29">
        <v>-11.4</v>
      </c>
      <c r="G26" s="29">
        <v>26.4</v>
      </c>
      <c r="H26" s="30">
        <f>DEGREES(ATAN(M26/SQRT(1-M26*M26)))</f>
        <v>31.74071413020069</v>
      </c>
      <c r="M26">
        <f>SIN($C$107)*SIN(RADIANS(F26))+COS($C$107)*COS(RADIANS(F26))*SIN(RADIANS($B$19+G26))</f>
        <v>0.5260761010052338</v>
      </c>
    </row>
    <row r="27" spans="1:13" ht="12.75">
      <c r="A27" s="47" t="s">
        <v>119</v>
      </c>
      <c r="B27" s="51">
        <f>B120</f>
        <v>93.4300221885271</v>
      </c>
      <c r="C27" s="33"/>
      <c r="E27" s="2" t="s">
        <v>126</v>
      </c>
      <c r="F27" s="29">
        <v>-43.4</v>
      </c>
      <c r="G27" s="29">
        <v>-11.1</v>
      </c>
      <c r="H27" s="30">
        <f>DEGREES(ATAN(M27/SQRT(1-M27*M27)))</f>
        <v>43.55918261846974</v>
      </c>
      <c r="M27">
        <f>SIN($C$107)*SIN(RADIANS(F27))+COS($C$107)*COS(RADIANS(F27))*SIN(RADIANS($B$19+G27))</f>
        <v>0.689103470416432</v>
      </c>
    </row>
    <row r="28" spans="1:13" ht="12.75">
      <c r="A28" s="47" t="s">
        <v>121</v>
      </c>
      <c r="B28" s="51">
        <f>B122</f>
        <v>-31.638431882992883</v>
      </c>
      <c r="C28" s="33"/>
      <c r="E28" s="2" t="s">
        <v>127</v>
      </c>
      <c r="F28" s="29">
        <v>-28</v>
      </c>
      <c r="G28" s="29">
        <v>3.3</v>
      </c>
      <c r="H28" s="30">
        <f>DEGREES(ATAN(M28/SQRT(1-M28*M28)))</f>
        <v>47.037043335723716</v>
      </c>
      <c r="M28">
        <f>SIN($C$107)*SIN(RADIANS(F28))+COS($C$107)*COS(RADIANS(F28))*SIN(RADIANS($B$19+G28))</f>
        <v>0.7317944798906239</v>
      </c>
    </row>
    <row r="29" spans="1:8" ht="12.75">
      <c r="A29" s="47" t="s">
        <v>123</v>
      </c>
      <c r="B29" s="51">
        <f>B130</f>
        <v>12.169582255433127</v>
      </c>
      <c r="C29" s="33"/>
      <c r="F29" s="29"/>
      <c r="G29" s="29"/>
      <c r="H29" s="32"/>
    </row>
    <row r="30" spans="1:8" ht="12.75">
      <c r="A30" s="47" t="s">
        <v>81</v>
      </c>
      <c r="B30" s="33">
        <f>B85/15</f>
        <v>7.933840582048125</v>
      </c>
      <c r="C30" s="33"/>
      <c r="E30" s="2"/>
      <c r="F30" s="29"/>
      <c r="G30" s="29"/>
      <c r="H30" s="32"/>
    </row>
    <row r="31" spans="1:8" ht="12.75">
      <c r="A31" s="47" t="s">
        <v>82</v>
      </c>
      <c r="B31" s="33">
        <f>B86</f>
        <v>24.669398567298273</v>
      </c>
      <c r="C31" s="33"/>
      <c r="E31" s="2"/>
      <c r="F31" s="29"/>
      <c r="G31" s="29"/>
      <c r="H31" s="32"/>
    </row>
    <row r="32" spans="1:8" ht="12.75">
      <c r="A32" s="47" t="s">
        <v>89</v>
      </c>
      <c r="B32" s="34"/>
      <c r="C32" s="34"/>
      <c r="E32" s="2"/>
      <c r="F32" s="29"/>
      <c r="G32" s="29"/>
      <c r="H32" s="32"/>
    </row>
    <row r="33" spans="1:8" ht="12.75">
      <c r="A33" s="47" t="s">
        <v>20</v>
      </c>
      <c r="B33" s="34"/>
      <c r="C33" s="34"/>
      <c r="E33" s="2"/>
      <c r="F33" s="29"/>
      <c r="G33" s="29"/>
      <c r="H33" s="32"/>
    </row>
    <row r="34" spans="1:8" ht="12.75">
      <c r="A34" s="47"/>
      <c r="B34" s="33"/>
      <c r="C34" s="33"/>
      <c r="E34" s="2"/>
      <c r="F34" s="29"/>
      <c r="G34" s="29"/>
      <c r="H34" s="32"/>
    </row>
    <row r="35" spans="5:8" ht="12.75">
      <c r="E35" s="2"/>
      <c r="F35" s="29"/>
      <c r="G35" s="29"/>
      <c r="H35" s="32"/>
    </row>
    <row r="36" spans="5:8" ht="12.75">
      <c r="E36" s="2"/>
      <c r="F36" s="29"/>
      <c r="G36" s="29"/>
      <c r="H36" s="32"/>
    </row>
    <row r="37" spans="5:8" ht="12.75">
      <c r="E37" s="2"/>
      <c r="F37" s="29"/>
      <c r="G37" s="29"/>
      <c r="H37" s="32"/>
    </row>
    <row r="38" spans="5:8" ht="12.75">
      <c r="E38" s="2"/>
      <c r="F38" s="29"/>
      <c r="G38" s="29"/>
      <c r="H38" s="32"/>
    </row>
    <row r="39" spans="5:8" ht="12.75">
      <c r="E39" s="2"/>
      <c r="F39" s="29"/>
      <c r="G39" s="29"/>
      <c r="H39" s="32"/>
    </row>
    <row r="40" ht="12.75">
      <c r="E40" s="2"/>
    </row>
    <row r="41" spans="5:7" ht="12.75">
      <c r="E41" s="2"/>
      <c r="F41" s="12"/>
      <c r="G41" s="4"/>
    </row>
    <row r="42" spans="5:7" ht="12.75">
      <c r="E42" s="2"/>
      <c r="F42" s="12"/>
      <c r="G42" s="4"/>
    </row>
    <row r="43" spans="5:7" ht="12.75">
      <c r="E43" s="2"/>
      <c r="F43" s="12"/>
      <c r="G43" s="4"/>
    </row>
    <row r="44" spans="4:7" ht="12.75">
      <c r="D44" s="35"/>
      <c r="E44" s="2"/>
      <c r="F44" s="12"/>
      <c r="G44" s="4"/>
    </row>
    <row r="45" spans="5:7" ht="12.75">
      <c r="E45" s="2"/>
      <c r="F45" s="12"/>
      <c r="G45" s="4"/>
    </row>
    <row r="46" spans="4:7" ht="12.75">
      <c r="D46" s="36"/>
      <c r="E46" s="2"/>
      <c r="F46" s="12"/>
      <c r="G46" s="4"/>
    </row>
    <row r="47" spans="5:7" ht="12.75">
      <c r="E47" s="2"/>
      <c r="F47" s="12"/>
      <c r="G47" s="4"/>
    </row>
    <row r="48" spans="5:7" ht="12.75">
      <c r="E48" s="2"/>
      <c r="F48" s="12"/>
      <c r="G48" s="4"/>
    </row>
    <row r="49" spans="5:7" ht="12.75">
      <c r="E49" s="2"/>
      <c r="F49" s="12"/>
      <c r="G49" s="4"/>
    </row>
    <row r="50" spans="1:7" ht="12.75">
      <c r="A50" s="2" t="s">
        <v>88</v>
      </c>
      <c r="C50" s="17">
        <f>RADIANS(B5)</f>
        <v>-0.03345272577297532</v>
      </c>
      <c r="E50" s="2"/>
      <c r="F50" s="12"/>
      <c r="G50" s="4"/>
    </row>
    <row r="51" spans="1:7" ht="12.75">
      <c r="A51" s="2" t="s">
        <v>87</v>
      </c>
      <c r="C51" s="17">
        <f>RADIANS(B6)</f>
        <v>0.9162978572970231</v>
      </c>
      <c r="E51" s="2"/>
      <c r="F51" s="12"/>
      <c r="G51" s="4"/>
    </row>
    <row r="52" spans="1:7" ht="12.75">
      <c r="A52" s="7" t="s">
        <v>0</v>
      </c>
      <c r="G52" s="12"/>
    </row>
    <row r="53" spans="1:3" ht="12.75">
      <c r="A53" s="28" t="s">
        <v>128</v>
      </c>
      <c r="B53" s="37">
        <f>367*B11-INT(7*(B11+INT((B12+9)/12))/4)+INT(275*B12/9)+B13+(B14+B15/60)/24-730531.5+(-B7+B8)/24</f>
        <v>1085.5</v>
      </c>
      <c r="C53" s="9">
        <f>B53+2451545</f>
        <v>2452630.5</v>
      </c>
    </row>
    <row r="54" spans="1:3" ht="12.75">
      <c r="A54" s="28" t="s">
        <v>129</v>
      </c>
      <c r="B54" s="38">
        <f>MOD(280.46061837+360.98564736629*B53+B5,360)</f>
        <v>88.4641344777774</v>
      </c>
      <c r="C54">
        <f>RADIANS(B54)</f>
        <v>1.5439904165642502</v>
      </c>
    </row>
    <row r="55" spans="1:4" ht="12.75">
      <c r="A55" s="2" t="s">
        <v>130</v>
      </c>
      <c r="B55" s="3">
        <f>B53/36525</f>
        <v>0.02971937029431896</v>
      </c>
      <c r="C55">
        <f>B55*B55</f>
        <v>0.0008832409706908482</v>
      </c>
      <c r="D55">
        <f>B55*C55</f>
        <v>2.624936546707504E-05</v>
      </c>
    </row>
    <row r="57" spans="1:3" ht="12.75">
      <c r="A57" s="7" t="s">
        <v>131</v>
      </c>
      <c r="B57" s="11" t="s">
        <v>132</v>
      </c>
      <c r="C57" s="11" t="s">
        <v>72</v>
      </c>
    </row>
    <row r="58" spans="1:3" ht="12.75">
      <c r="A58" s="2" t="s">
        <v>133</v>
      </c>
      <c r="B58" s="9">
        <f>MOD(280.466+36000.8*$B$55,360)</f>
        <v>270.3871060917181</v>
      </c>
      <c r="C58" s="3">
        <f>RADIANS(B58)</f>
        <v>4.719145256239698</v>
      </c>
    </row>
    <row r="59" spans="1:3" ht="12.75">
      <c r="A59" s="2" t="s">
        <v>134</v>
      </c>
      <c r="B59" s="9">
        <f>MOD(357.529+35999*$B$55-0.0001536*$C$55+$D$55/24490000,360)</f>
        <v>347.3966110895235</v>
      </c>
      <c r="C59" s="3">
        <f>RADIANS(B59)</f>
        <v>6.063214673782431</v>
      </c>
    </row>
    <row r="60" spans="1:3" ht="12.75">
      <c r="A60" s="2" t="s">
        <v>135</v>
      </c>
      <c r="B60" s="9">
        <f>(1.915-0.004817*$B$55-0.000014*$C$55)*SIN(C59)+(0.01999-0.000101*$B$55)*SIN(2*C59)+0.00029*SIN(3*C59)</f>
        <v>-0.42651357945712776</v>
      </c>
      <c r="C60" s="3">
        <f>RADIANS(B60)</f>
        <v>-0.007444066265993328</v>
      </c>
    </row>
    <row r="61" spans="1:3" ht="12.75">
      <c r="A61" s="2" t="s">
        <v>136</v>
      </c>
      <c r="B61" s="9">
        <f>B59+B60</f>
        <v>346.97009751006635</v>
      </c>
      <c r="C61" s="3">
        <f>RADIANS(B61)</f>
        <v>6.055770607516437</v>
      </c>
    </row>
    <row r="62" spans="1:4" ht="12.75">
      <c r="A62" s="2" t="s">
        <v>137</v>
      </c>
      <c r="B62" s="9">
        <f>0.01671-0.00004204*$B$55-0.0000001236*$C$55</f>
        <v>0.016708750488504242</v>
      </c>
      <c r="C62" s="3"/>
      <c r="D62" s="9"/>
    </row>
    <row r="63" spans="1:4" ht="12.75">
      <c r="A63" s="2" t="s">
        <v>138</v>
      </c>
      <c r="B63" s="9">
        <f>0.99972/(1+B62*COS(C61))*145980000/385000</f>
        <v>372.99091544537526</v>
      </c>
      <c r="C63" s="3"/>
      <c r="D63" s="39"/>
    </row>
    <row r="64" spans="1:3" ht="12.75">
      <c r="A64" s="2" t="s">
        <v>139</v>
      </c>
      <c r="B64" s="9">
        <f>B58+B60</f>
        <v>269.960592512261</v>
      </c>
      <c r="C64" s="3">
        <f>RADIANS(B64)</f>
        <v>4.711701189973705</v>
      </c>
    </row>
    <row r="65" spans="1:3" ht="12.75">
      <c r="A65" s="2" t="s">
        <v>140</v>
      </c>
      <c r="B65" s="9">
        <f>MOD(125.04-1934.1*$B$55,360)</f>
        <v>67.5597659137577</v>
      </c>
      <c r="C65" s="3">
        <f>RADIANS(B65)</f>
        <v>1.1791403570717074</v>
      </c>
    </row>
    <row r="66" spans="1:3" ht="12.75">
      <c r="A66" s="2" t="s">
        <v>141</v>
      </c>
      <c r="B66" s="9">
        <f>B64-0.00569-0.00478*SIN(C65)</f>
        <v>269.9504844624101</v>
      </c>
      <c r="C66" s="3">
        <f>RADIANS(B66)</f>
        <v>4.711524771222851</v>
      </c>
    </row>
    <row r="67" spans="1:3" ht="12.75">
      <c r="A67" s="2" t="s">
        <v>142</v>
      </c>
      <c r="B67" s="9">
        <f>(84381.448-46.815*B55)/3600</f>
        <v>23.438904635466578</v>
      </c>
      <c r="C67" s="3">
        <f>RADIANS(B67)</f>
        <v>0.40908605894985306</v>
      </c>
    </row>
    <row r="68" spans="1:5" ht="12.75">
      <c r="A68" s="2" t="s">
        <v>143</v>
      </c>
      <c r="B68" s="9">
        <f>DEGREES(D68)</f>
        <v>269.9570483468213</v>
      </c>
      <c r="C68" s="3">
        <f>ATAN2(COS(C64),SIN(C64)*COS(C67)-TAN(0)*SIN(C67))</f>
        <v>-1.5715459745620395</v>
      </c>
      <c r="D68" s="3">
        <f>IF(C68&lt;0,2*PI()+C68,C68)</f>
        <v>4.711639332617547</v>
      </c>
      <c r="E68">
        <f>B68/15</f>
        <v>17.997136556454752</v>
      </c>
    </row>
    <row r="69" spans="1:4" ht="12.75">
      <c r="A69" s="2" t="s">
        <v>144</v>
      </c>
      <c r="B69" s="9">
        <f>DEGREES(C69)</f>
        <v>-23.438898760044474</v>
      </c>
      <c r="C69" s="3">
        <f>ASIN(SIN(0)*COS(C67)+COS(0)*SIN(C67)*SIN(C64))</f>
        <v>-0.4090859564043924</v>
      </c>
      <c r="D69" s="3"/>
    </row>
    <row r="70" spans="2:4" ht="12.75">
      <c r="B70" s="3"/>
      <c r="C70" s="3"/>
      <c r="D70" s="3"/>
    </row>
    <row r="71" spans="1:4" ht="12.75">
      <c r="A71" s="7" t="s">
        <v>145</v>
      </c>
      <c r="B71" s="3"/>
      <c r="C71" s="3"/>
      <c r="D71" s="3"/>
    </row>
    <row r="72" spans="1:4" ht="12.75">
      <c r="A72" s="2" t="s">
        <v>146</v>
      </c>
      <c r="B72" s="3">
        <f>MOD(93.2721+483202*$B$55-0.003403*$C$55-$D$55/3526000,360)</f>
        <v>53.731261949833424</v>
      </c>
      <c r="C72" s="3">
        <f aca="true" t="shared" si="2" ref="C72:C77">RADIANS(B72)</f>
        <v>0.9377874322761415</v>
      </c>
      <c r="D72" s="3"/>
    </row>
    <row r="73" spans="1:4" ht="12.75">
      <c r="A73" s="2" t="s">
        <v>147</v>
      </c>
      <c r="B73" s="3">
        <f>MOD(218.316+481268*$B$55,360)</f>
        <v>121.29790280629823</v>
      </c>
      <c r="C73" s="3">
        <f t="shared" si="2"/>
        <v>2.1170477797339737</v>
      </c>
      <c r="D73" s="3"/>
    </row>
    <row r="74" spans="1:4" ht="12.75">
      <c r="A74" s="2" t="s">
        <v>148</v>
      </c>
      <c r="B74" s="3">
        <f>MOD(125.045-1934.14*$B$55+0.002071*$C$55+$D$55/450000,360)</f>
        <v>67.56357896819631</v>
      </c>
      <c r="C74" s="3">
        <f t="shared" si="2"/>
        <v>1.1792069074262188</v>
      </c>
      <c r="D74" s="3"/>
    </row>
    <row r="75" spans="1:4" ht="12.75">
      <c r="A75" s="2" t="s">
        <v>149</v>
      </c>
      <c r="B75" s="3">
        <f>MOD(134.963+477199*$B$55+0.008997*$C$55+$D$55/69700,360)</f>
        <v>277.0167930256084</v>
      </c>
      <c r="C75" s="3">
        <f t="shared" si="2"/>
        <v>4.834855121612532</v>
      </c>
      <c r="D75" s="3"/>
    </row>
    <row r="76" spans="1:4" ht="12.75">
      <c r="A76" s="2" t="s">
        <v>150</v>
      </c>
      <c r="B76" s="3">
        <f>MOD(297.85+445267*$B$55-0.00163*$C$55+$D$55/545900,360)</f>
        <v>210.90485140088458</v>
      </c>
      <c r="C76" s="3">
        <f t="shared" si="2"/>
        <v>3.680984065374811</v>
      </c>
      <c r="D76" s="3"/>
    </row>
    <row r="77" spans="1:4" ht="12.75">
      <c r="A77" s="2" t="s">
        <v>151</v>
      </c>
      <c r="B77" s="3">
        <f>2*B76</f>
        <v>421.80970280176916</v>
      </c>
      <c r="C77" s="3">
        <f t="shared" si="2"/>
        <v>7.361968130749622</v>
      </c>
      <c r="D77" s="3"/>
    </row>
    <row r="78" spans="1:5" ht="12.75">
      <c r="A78" s="2" t="s">
        <v>152</v>
      </c>
      <c r="B78" s="3">
        <f>1+(-20954*COS(C75)-3699*COS(C77-C75)-2956*COS(C77))/385000</f>
        <v>0.9975745205407327</v>
      </c>
      <c r="C78" s="3">
        <f>B78*60.2666</f>
        <v>60.120424599620115</v>
      </c>
      <c r="D78" s="3"/>
      <c r="E78">
        <f>B78*385000</f>
        <v>384066.1904081821</v>
      </c>
    </row>
    <row r="79" spans="1:4" ht="12.75">
      <c r="A79" s="2" t="s">
        <v>153</v>
      </c>
      <c r="B79" s="3">
        <f>B78/B63</f>
        <v>0.0026745276606792534</v>
      </c>
      <c r="C79" s="3"/>
      <c r="D79" s="3"/>
    </row>
    <row r="80" spans="1:4" ht="12.75">
      <c r="A80" s="2" t="s">
        <v>154</v>
      </c>
      <c r="B80" s="3">
        <f>5.128*SIN(C72)+0.2806*SIN(C75+C72)+0.2777*SIN(C75-C72)+0.1732*SIN(C77-C72)</f>
        <v>3.8312794707296893</v>
      </c>
      <c r="C80" s="3">
        <f>RADIANS(B80)</f>
        <v>0.06686844132829879</v>
      </c>
      <c r="D80" s="3"/>
    </row>
    <row r="81" spans="1:4" ht="12.75">
      <c r="A81" s="2" t="s">
        <v>155</v>
      </c>
      <c r="B81" s="3">
        <f>6.289*SIN(C75)+1.274*SIN(C77-C75)+0.6583*SIN(C77)+0.2136*SIN(2*C75)-0.1851*SIN(C59)-0.1143*SIN(2*C72)+0.0588*SIN(C77-2*C75)+0.0572*SIN(C77-C59-C75)+0.0533*SIN(C77+C75)</f>
        <v>-5.088428167289158</v>
      </c>
      <c r="C81" s="3">
        <f>RADIANS(B81)</f>
        <v>-0.08880982527041663</v>
      </c>
      <c r="D81" s="3"/>
    </row>
    <row r="82" spans="1:4" ht="12.75">
      <c r="A82" s="2" t="s">
        <v>156</v>
      </c>
      <c r="B82" s="3">
        <f>B73+B81</f>
        <v>116.20947463900907</v>
      </c>
      <c r="C82" s="3">
        <f>RADIANS(B82)</f>
        <v>2.0282379544635574</v>
      </c>
      <c r="D82" s="3"/>
    </row>
    <row r="83" spans="1:4" ht="12.75">
      <c r="A83" s="2" t="s">
        <v>157</v>
      </c>
      <c r="B83" s="3">
        <f>MOD(B66+180+DEGREES(B79*COS(C80)*SIN(C66-C82)),360)</f>
        <v>90.01813045007196</v>
      </c>
      <c r="C83" s="3">
        <f>RADIANS(B83)</f>
        <v>1.5711127628435209</v>
      </c>
      <c r="D83" s="3"/>
    </row>
    <row r="84" spans="1:4" ht="12.75">
      <c r="A84" s="2" t="s">
        <v>158</v>
      </c>
      <c r="B84" s="3">
        <f>B79*B80</f>
        <v>0.010246862920259125</v>
      </c>
      <c r="C84" s="3">
        <f>RADIANS(B84)</f>
        <v>0.0001788414959590429</v>
      </c>
      <c r="D84" s="3"/>
    </row>
    <row r="85" spans="1:5" ht="12.75">
      <c r="A85" s="2" t="s">
        <v>159</v>
      </c>
      <c r="B85" s="3">
        <f>DEGREES(D85)</f>
        <v>119.00760873072188</v>
      </c>
      <c r="C85" s="3">
        <f>ATAN2(COS(C82),SIN(C82)*COS(C67)-TAN(C80)*SIN(C67))</f>
        <v>2.0770746072762467</v>
      </c>
      <c r="D85" s="3">
        <f>IF(C85&lt;0,2*PI()+C85,C85)</f>
        <v>2.0770746072762467</v>
      </c>
      <c r="E85">
        <f>B85/15</f>
        <v>7.933840582048125</v>
      </c>
    </row>
    <row r="86" spans="1:3" ht="12.75">
      <c r="A86" s="2" t="s">
        <v>160</v>
      </c>
      <c r="B86" s="3">
        <f>DEGREES(C86)</f>
        <v>24.669398567298273</v>
      </c>
      <c r="C86" s="3">
        <f>ASIN(SIN(C80)*COS(C67)+COS(C80)*SIN(C67)*SIN(C82))</f>
        <v>0.4305622294861268</v>
      </c>
    </row>
    <row r="87" spans="2:3" ht="12.75">
      <c r="B87" s="3"/>
      <c r="C87" s="3"/>
    </row>
    <row r="88" spans="2:3" ht="12.75">
      <c r="B88" s="3"/>
      <c r="C88" s="3"/>
    </row>
    <row r="89" spans="1:3" ht="12.75">
      <c r="A89" s="7" t="s">
        <v>161</v>
      </c>
      <c r="B89" s="3"/>
      <c r="C89" s="3"/>
    </row>
    <row r="90" spans="1:3" ht="12.75">
      <c r="A90" s="16" t="s">
        <v>162</v>
      </c>
      <c r="B90" s="3">
        <v>1.54242</v>
      </c>
      <c r="C90" s="3">
        <f>RADIANS(B90)</f>
        <v>0.026920307448610938</v>
      </c>
    </row>
    <row r="91" spans="1:3" ht="12.75">
      <c r="A91" s="2" t="s">
        <v>163</v>
      </c>
      <c r="B91" s="3">
        <f>MOD(B82-B74,360)</f>
        <v>48.64589567081276</v>
      </c>
      <c r="C91" s="3">
        <f>RADIANS(B91)</f>
        <v>0.8490310470373383</v>
      </c>
    </row>
    <row r="92" spans="1:3" ht="12.75">
      <c r="A92" s="2" t="s">
        <v>63</v>
      </c>
      <c r="B92" s="3">
        <f>SIN(C91)*COS(C80)*COS(C90)-SIN(C80)*SIN(C90)</f>
        <v>0.7468930504150627</v>
      </c>
      <c r="C92" s="3"/>
    </row>
    <row r="93" spans="1:3" ht="12.75">
      <c r="A93" s="2" t="s">
        <v>64</v>
      </c>
      <c r="B93" s="3">
        <f>COS(C91)*COS(C80)</f>
        <v>0.6592341943534267</v>
      </c>
      <c r="C93" s="3"/>
    </row>
    <row r="94" spans="1:3" ht="12.75">
      <c r="A94" s="2" t="s">
        <v>164</v>
      </c>
      <c r="B94" s="3">
        <f>MOD(DEGREES(C94),360)</f>
        <v>48.56723849570235</v>
      </c>
      <c r="C94" s="3">
        <f>ATAN2(B93,B92)</f>
        <v>0.8476582203513439</v>
      </c>
    </row>
    <row r="95" spans="1:3" ht="12.75">
      <c r="A95" s="2" t="s">
        <v>165</v>
      </c>
      <c r="B95" s="3">
        <f>B94-B72</f>
        <v>-5.164023454131076</v>
      </c>
      <c r="C95" s="3"/>
    </row>
    <row r="96" spans="1:3" ht="12.75">
      <c r="A96" s="2" t="s">
        <v>90</v>
      </c>
      <c r="B96" s="3">
        <f>-SIN(C91)*COS(C80)*SIN(C90)-SIN(C80)*COS(C90)</f>
        <v>-0.08695428820288938</v>
      </c>
      <c r="C96" s="3"/>
    </row>
    <row r="97" spans="1:3" ht="12.75">
      <c r="A97" s="2" t="s">
        <v>166</v>
      </c>
      <c r="B97" s="3">
        <f>DEGREES(C97)</f>
        <v>-4.988413516780561</v>
      </c>
      <c r="C97" s="3">
        <f>ASIN(B96)</f>
        <v>-0.08706424031881019</v>
      </c>
    </row>
    <row r="99" ht="12.75">
      <c r="A99" s="7" t="s">
        <v>167</v>
      </c>
    </row>
    <row r="101" spans="1:3" ht="12.75">
      <c r="A101" s="2" t="s">
        <v>163</v>
      </c>
      <c r="B101" s="3">
        <f>MOD(B83-B74,360)</f>
        <v>22.454551481875654</v>
      </c>
      <c r="C101" s="3">
        <f>RADIANS(B101)</f>
        <v>0.391905855417302</v>
      </c>
    </row>
    <row r="102" spans="1:3" ht="12.75">
      <c r="A102" s="2" t="s">
        <v>63</v>
      </c>
      <c r="B102" s="3">
        <f>SIN(C101)*COS(C84)*COS(C90)-SIN(C84)*SIN(C90)</f>
        <v>0.381807254572172</v>
      </c>
      <c r="C102" s="3"/>
    </row>
    <row r="103" spans="1:3" ht="12.75">
      <c r="A103" s="2" t="s">
        <v>64</v>
      </c>
      <c r="B103" s="3">
        <f>COS(C101)*COS(C84)</f>
        <v>0.9241827815996589</v>
      </c>
      <c r="C103" s="3"/>
    </row>
    <row r="104" spans="1:3" ht="12.75">
      <c r="A104" s="2" t="s">
        <v>164</v>
      </c>
      <c r="B104" s="3">
        <f>MOD(DEGREES(C104),360)</f>
        <v>22.446968063672973</v>
      </c>
      <c r="C104" s="3">
        <f>ATAN2(B103,B102)</f>
        <v>0.39177349980110954</v>
      </c>
    </row>
    <row r="105" spans="1:3" ht="12.75">
      <c r="A105" s="2" t="s">
        <v>168</v>
      </c>
      <c r="B105" s="3">
        <f>MOD(B104-B72,360)</f>
        <v>328.71570611383953</v>
      </c>
      <c r="C105" s="3">
        <f>RADIANS(B105)</f>
        <v>5.7371713747045545</v>
      </c>
    </row>
    <row r="106" spans="1:3" ht="12.75">
      <c r="A106" s="2" t="s">
        <v>90</v>
      </c>
      <c r="B106" s="3">
        <f>-SIN(C101)*COS(C84)*SIN(C90)-SIN(C84)*COS(C90)</f>
        <v>-0.010459758638593962</v>
      </c>
      <c r="C106" s="3"/>
    </row>
    <row r="107" spans="1:3" ht="12.75">
      <c r="A107" s="2" t="s">
        <v>169</v>
      </c>
      <c r="B107" s="3">
        <f>DEGREES(C107)</f>
        <v>-0.5993109531464159</v>
      </c>
      <c r="C107" s="3">
        <f>ASIN(B106)</f>
        <v>-0.010459949375670428</v>
      </c>
    </row>
    <row r="109" ht="12.75">
      <c r="A109" s="8" t="s">
        <v>170</v>
      </c>
    </row>
    <row r="111" spans="1:3" ht="12.75">
      <c r="A111" s="2" t="s">
        <v>90</v>
      </c>
      <c r="B111" s="3">
        <f>COS(C80)*COS(C82-C66)</f>
        <v>-0.894799100725173</v>
      </c>
      <c r="C111" s="3"/>
    </row>
    <row r="112" spans="1:3" ht="12.75">
      <c r="A112" s="2" t="s">
        <v>171</v>
      </c>
      <c r="B112" s="3">
        <f>DEGREES(C112)</f>
        <v>153.48263657348897</v>
      </c>
      <c r="C112" s="3">
        <f>PI()/2-ATAN(B111/SQRT(1-B111*B111))</f>
        <v>2.6787773528492504</v>
      </c>
    </row>
    <row r="113" spans="1:3" ht="12.75">
      <c r="A113" s="2" t="s">
        <v>63</v>
      </c>
      <c r="B113" s="3">
        <f>B63*SIN(C112)</f>
        <v>166.52888160459997</v>
      </c>
      <c r="C113" s="3"/>
    </row>
    <row r="114" spans="1:3" ht="12.75">
      <c r="A114" s="2" t="s">
        <v>64</v>
      </c>
      <c r="B114" s="3">
        <f>B78-B63*B111</f>
        <v>334.7495102397216</v>
      </c>
      <c r="C114" s="3"/>
    </row>
    <row r="115" spans="1:3" ht="12.75">
      <c r="A115" s="2" t="s">
        <v>162</v>
      </c>
      <c r="B115" s="3">
        <f>DEGREES(C115)</f>
        <v>26.449110270907905</v>
      </c>
      <c r="C115" s="3">
        <f>ATAN2(B114,B113)</f>
        <v>0.46162405845039234</v>
      </c>
    </row>
    <row r="116" spans="1:2" ht="12.75">
      <c r="A116" s="2" t="s">
        <v>172</v>
      </c>
      <c r="B116" s="3">
        <f>(1+COS(C115))/2</f>
        <v>0.9476651592346723</v>
      </c>
    </row>
    <row r="117" ht="12.75">
      <c r="A117" s="2"/>
    </row>
    <row r="118" ht="12.75">
      <c r="A118" s="8" t="s">
        <v>173</v>
      </c>
    </row>
    <row r="119" ht="12.75">
      <c r="A119" s="2"/>
    </row>
    <row r="120" spans="1:4" ht="12.75">
      <c r="A120" s="2" t="s">
        <v>174</v>
      </c>
      <c r="B120" s="3">
        <f>DEGREES(C120)</f>
        <v>93.4300221885271</v>
      </c>
      <c r="C120" s="3">
        <f>IF(D120&lt;0,D120+2*PI(),D120)</f>
        <v>1.6306615074011561</v>
      </c>
      <c r="D120" s="3">
        <f>ATAN2(SIN(C69)*COS(C86)-COS(C69)*SIN(C86)*COS(D68-D85),COS(C69)*SIN(D68-D85))</f>
        <v>1.6306615074011561</v>
      </c>
    </row>
    <row r="121" spans="1:4" ht="12.75">
      <c r="A121" s="2" t="s">
        <v>175</v>
      </c>
      <c r="B121" s="3">
        <f>DEGREES(C121)</f>
        <v>-30.54347425294448</v>
      </c>
      <c r="C121" s="3">
        <f>C54-D85</f>
        <v>-0.5330841907119965</v>
      </c>
      <c r="D121" s="3"/>
    </row>
    <row r="122" spans="1:4" ht="12.75">
      <c r="A122" s="2" t="s">
        <v>176</v>
      </c>
      <c r="B122" s="3">
        <f>DEGREES(C122)</f>
        <v>-31.638431882992883</v>
      </c>
      <c r="C122" s="3">
        <f>ATAN(SIN(C121)/(TAN(C51)*COS(C86)-SIN(C86)*COS(C121)))</f>
        <v>-0.5521948065261751</v>
      </c>
      <c r="D122" s="3"/>
    </row>
    <row r="123" spans="1:4" ht="12.75">
      <c r="A123" s="2"/>
      <c r="B123" s="3"/>
      <c r="C123" s="3"/>
      <c r="D123" s="3"/>
    </row>
    <row r="124" spans="1:4" ht="12.75">
      <c r="A124" s="8" t="s">
        <v>177</v>
      </c>
      <c r="B124" s="3"/>
      <c r="C124" s="3"/>
      <c r="D124" s="3"/>
    </row>
    <row r="125" spans="1:4" ht="12.75">
      <c r="A125" s="40" t="s">
        <v>178</v>
      </c>
      <c r="B125" s="3"/>
      <c r="C125" s="3"/>
      <c r="D125" s="3"/>
    </row>
    <row r="126" spans="2:4" ht="12.75">
      <c r="B126" s="3"/>
      <c r="C126" s="3"/>
      <c r="D126" s="3"/>
    </row>
    <row r="127" spans="1:4" ht="12.75">
      <c r="A127" s="2" t="s">
        <v>63</v>
      </c>
      <c r="B127" s="3">
        <f>SIN(C90)*SIN(C74)</f>
        <v>0.024879532138759763</v>
      </c>
      <c r="D127" s="3"/>
    </row>
    <row r="128" spans="1:4" ht="12.75">
      <c r="A128" s="2" t="s">
        <v>64</v>
      </c>
      <c r="B128" s="3">
        <f>SIN(C90)*COS(C74)*COS(C67)-COS(C90)*SIN(C67)</f>
        <v>-0.38820142149861225</v>
      </c>
      <c r="C128" s="3"/>
      <c r="D128" s="3"/>
    </row>
    <row r="129" spans="1:4" ht="12.75">
      <c r="A129" s="2" t="s">
        <v>46</v>
      </c>
      <c r="B129" s="3">
        <f>DEGREES(C129)</f>
        <v>176.33297251980193</v>
      </c>
      <c r="C129" s="3">
        <f>IF(B128&gt;0,ATAN(B127/B128),PI()+ATAN(B127/B128))</f>
        <v>3.077590950299226</v>
      </c>
      <c r="D129" s="3"/>
    </row>
    <row r="130" spans="1:4" ht="12.75">
      <c r="A130" s="2" t="s">
        <v>179</v>
      </c>
      <c r="B130" s="3">
        <f>DEGREES(C130)</f>
        <v>12.169582255433127</v>
      </c>
      <c r="C130" s="3">
        <f>ASIN((SQRT(B127^2+B128^2)*COS(C85-C129))/COS(C97))</f>
        <v>0.21239927894958566</v>
      </c>
      <c r="D130" s="3"/>
    </row>
    <row r="131" spans="1:4" ht="12.75">
      <c r="A131" s="2"/>
      <c r="B131" s="3"/>
      <c r="C131" s="3"/>
      <c r="D131" s="3"/>
    </row>
    <row r="132" ht="12.75">
      <c r="A132" s="8" t="s">
        <v>180</v>
      </c>
    </row>
    <row r="133" ht="12.75">
      <c r="A133" s="2"/>
    </row>
    <row r="134" spans="1:4" ht="12.75">
      <c r="A134" s="2" t="s">
        <v>181</v>
      </c>
      <c r="B134" s="3">
        <f>DEGREES(C134)</f>
        <v>328.36156811700715</v>
      </c>
      <c r="C134" s="3">
        <f>IF(D134&lt;0,2*PI()+D134,D134)</f>
        <v>5.730990500653411</v>
      </c>
      <c r="D134" s="3">
        <f>ATAN2(COS(C86)*SIN(C51)-SIN(C86)*COS(C51)*COS(C121),COS(C51)*SIN(C121))</f>
        <v>-0.5521948065261751</v>
      </c>
    </row>
    <row r="135" spans="1:3" ht="12.75">
      <c r="A135" s="2" t="s">
        <v>182</v>
      </c>
      <c r="B135" s="3">
        <f>DEGREES(C135)</f>
        <v>36.14064062216278</v>
      </c>
      <c r="C135" s="3">
        <f>ACOS(SIN(C86)*SIN(C51)+COS(C86)*COS(C51)*COS(C121))</f>
        <v>0.6307731726367524</v>
      </c>
    </row>
    <row r="136" spans="1:3" ht="12.75">
      <c r="A136" s="2" t="s">
        <v>183</v>
      </c>
      <c r="B136" s="3">
        <f>DEGREES(C136)</f>
        <v>0.9515477064338617</v>
      </c>
      <c r="C136" s="3">
        <f>ASIN(6378.14/(385000*B78))</f>
        <v>0.016607640467071316</v>
      </c>
    </row>
    <row r="137" spans="1:3" ht="12.75">
      <c r="A137" s="2" t="s">
        <v>184</v>
      </c>
      <c r="B137" s="3">
        <f>B136*(SIN(C135)+0.0084*SIN(2*C135))</f>
        <v>0.5688074795764564</v>
      </c>
      <c r="C137" s="3"/>
    </row>
    <row r="138" spans="1:3" ht="12.75">
      <c r="A138" s="2" t="s">
        <v>185</v>
      </c>
      <c r="B138" s="3">
        <f>-B137*SIN(C134-C130)/COS(C97)</f>
        <v>0.3952507244119406</v>
      </c>
      <c r="C138">
        <f>RADIANS(B138)</f>
        <v>0.006898426511881091</v>
      </c>
    </row>
    <row r="139" spans="1:3" ht="12.75">
      <c r="A139" s="2" t="s">
        <v>186</v>
      </c>
      <c r="B139" s="3">
        <f>B137*COS(C134-C130)</f>
        <v>0.4104875446764829</v>
      </c>
      <c r="C139">
        <f>RADIANS(B139)</f>
        <v>0.007164359193031948</v>
      </c>
    </row>
    <row r="140" spans="1:3" ht="12.75">
      <c r="A140" s="2" t="s">
        <v>187</v>
      </c>
      <c r="B140" s="3">
        <f>B138*SIN(C97+C139)-B137*SIN(C134)*TAN(C86)</f>
        <v>0.10549586661401955</v>
      </c>
      <c r="C140">
        <f>RADIANS(B140)</f>
        <v>0.001841250219659403</v>
      </c>
    </row>
    <row r="142" ht="12.75">
      <c r="A142" s="2" t="s">
        <v>81</v>
      </c>
    </row>
    <row r="143" ht="12.75">
      <c r="A143" s="2" t="s">
        <v>82</v>
      </c>
    </row>
  </sheetData>
  <printOptions/>
  <pageMargins left="0.75" right="0.75" top="1" bottom="1" header="0.5" footer="0.5"/>
  <pageSetup horizontalDpi="360" verticalDpi="360" orientation="landscape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D1">
      <selection activeCell="H17" sqref="H17"/>
    </sheetView>
  </sheetViews>
  <sheetFormatPr defaultColWidth="9.140625" defaultRowHeight="12.75"/>
  <cols>
    <col min="1" max="1" width="26.421875" style="0" customWidth="1"/>
    <col min="2" max="2" width="12.57421875" style="0" bestFit="1" customWidth="1"/>
    <col min="4" max="4" width="25.7109375" style="0" customWidth="1"/>
    <col min="5" max="5" width="10.57421875" style="0" bestFit="1" customWidth="1"/>
  </cols>
  <sheetData>
    <row r="1" ht="18">
      <c r="A1" s="1" t="s">
        <v>18</v>
      </c>
    </row>
    <row r="4" spans="1:9" ht="12.75">
      <c r="A4" s="7" t="s">
        <v>15</v>
      </c>
      <c r="D4" s="7" t="s">
        <v>19</v>
      </c>
      <c r="F4" t="s">
        <v>26</v>
      </c>
      <c r="G4" t="s">
        <v>27</v>
      </c>
      <c r="H4" t="s">
        <v>29</v>
      </c>
      <c r="I4" t="s">
        <v>30</v>
      </c>
    </row>
    <row r="5" spans="1:7" ht="12.75">
      <c r="A5" s="2" t="s">
        <v>11</v>
      </c>
      <c r="B5" s="3">
        <f>-(1+55/60)</f>
        <v>-1.9166666666666665</v>
      </c>
      <c r="D5" s="2" t="s">
        <v>22</v>
      </c>
      <c r="E5">
        <f>5+14/60+32.2/3600</f>
        <v>5.242277777777778</v>
      </c>
      <c r="F5">
        <f>E5*15</f>
        <v>78.63416666666667</v>
      </c>
      <c r="G5">
        <f>RADIANS(F5)</f>
        <v>1.3724251128953078</v>
      </c>
    </row>
    <row r="6" spans="1:7" ht="12.75">
      <c r="A6" s="2" t="s">
        <v>12</v>
      </c>
      <c r="B6" s="3">
        <f>(52+30/60)</f>
        <v>52.5</v>
      </c>
      <c r="D6" s="2" t="s">
        <v>23</v>
      </c>
      <c r="E6">
        <f>-(8+12/60+6/3600)</f>
        <v>-8.201666666666666</v>
      </c>
      <c r="G6">
        <f>RADIANS(E6)</f>
        <v>-0.14314608748440158</v>
      </c>
    </row>
    <row r="7" spans="1:2" ht="12.75">
      <c r="A7" s="2" t="s">
        <v>8</v>
      </c>
      <c r="B7" s="4">
        <v>0</v>
      </c>
    </row>
    <row r="8" spans="1:7" ht="12.75">
      <c r="A8" s="2" t="s">
        <v>9</v>
      </c>
      <c r="B8" s="4">
        <v>0</v>
      </c>
      <c r="D8" s="2" t="s">
        <v>24</v>
      </c>
      <c r="E8" s="9">
        <f>E5+(3.0742+1.33589*SIN(G5)*TAN(G6))/36*B19</f>
        <v>5.244198985029529</v>
      </c>
      <c r="G8">
        <f>RADIANS(E8*15)</f>
        <v>1.3729280837776516</v>
      </c>
    </row>
    <row r="9" spans="1:9" ht="12.75">
      <c r="A9" s="2"/>
      <c r="B9" s="4"/>
      <c r="D9" s="2" t="s">
        <v>25</v>
      </c>
      <c r="E9" s="9">
        <f>E6+(20.0383*COS(G5))/36*B19</f>
        <v>-8.199037301686742</v>
      </c>
      <c r="G9">
        <f>RADIANS(E9)</f>
        <v>-0.14310019640826527</v>
      </c>
      <c r="H9">
        <f>SIN(G9)</f>
        <v>-0.14261230321248758</v>
      </c>
      <c r="I9">
        <f>COS(G9)</f>
        <v>0.9897786272558271</v>
      </c>
    </row>
    <row r="10" spans="1:2" ht="12.75">
      <c r="A10" s="8" t="s">
        <v>16</v>
      </c>
      <c r="B10" s="3"/>
    </row>
    <row r="11" spans="1:9" ht="12.75">
      <c r="A11" s="2" t="s">
        <v>3</v>
      </c>
      <c r="B11" s="5">
        <v>2002</v>
      </c>
      <c r="D11" s="2" t="s">
        <v>28</v>
      </c>
      <c r="E11">
        <f>MOD(B20-E8*15,360)</f>
        <v>162.81523611471678</v>
      </c>
      <c r="G11">
        <f>RADIANS(E11)</f>
        <v>2.841661942613788</v>
      </c>
      <c r="H11">
        <f>SIN(G11)</f>
        <v>0.2954540116190827</v>
      </c>
      <c r="I11">
        <f>COS(G11)</f>
        <v>-0.9553569631390096</v>
      </c>
    </row>
    <row r="12" spans="1:9" ht="12.75">
      <c r="A12" s="2" t="s">
        <v>5</v>
      </c>
      <c r="B12" s="6">
        <v>5</v>
      </c>
      <c r="D12" s="2" t="s">
        <v>12</v>
      </c>
      <c r="E12" s="3">
        <f>B6</f>
        <v>52.5</v>
      </c>
      <c r="G12">
        <f>RADIANS(E12)</f>
        <v>0.9162978572970231</v>
      </c>
      <c r="H12">
        <f>SIN(G12)</f>
        <v>0.7933533402912352</v>
      </c>
      <c r="I12">
        <f>COS(G12)</f>
        <v>0.6087614290087207</v>
      </c>
    </row>
    <row r="13" spans="1:12" ht="12.75">
      <c r="A13" s="2" t="s">
        <v>4</v>
      </c>
      <c r="B13" s="6">
        <v>26</v>
      </c>
      <c r="J13" s="11" t="s">
        <v>33</v>
      </c>
      <c r="K13" s="11" t="s">
        <v>31</v>
      </c>
      <c r="L13" s="11" t="s">
        <v>32</v>
      </c>
    </row>
    <row r="14" spans="1:12" ht="12.75">
      <c r="A14" s="2" t="s">
        <v>6</v>
      </c>
      <c r="B14" s="6">
        <v>0</v>
      </c>
      <c r="D14" s="13" t="s">
        <v>20</v>
      </c>
      <c r="E14" s="12">
        <f>DEGREES(G14)</f>
        <v>336.21067907944064</v>
      </c>
      <c r="G14">
        <f>IF(L14&lt;0,PI()+J14,IF(K14&lt;0,2*PI()+J14,J14))</f>
        <v>5.867983330302257</v>
      </c>
      <c r="J14">
        <f>ATAN(K14/L14)</f>
        <v>-0.41520197687732907</v>
      </c>
      <c r="K14">
        <f>-I9*I12*H11</f>
        <v>-0.17802257993185736</v>
      </c>
      <c r="L14">
        <f>H9-H12*H15</f>
        <v>0.4038350588299215</v>
      </c>
    </row>
    <row r="15" spans="1:9" ht="12.75">
      <c r="A15" s="2" t="s">
        <v>7</v>
      </c>
      <c r="B15" s="6">
        <v>0</v>
      </c>
      <c r="D15" s="13" t="s">
        <v>21</v>
      </c>
      <c r="E15" s="12">
        <f>DEGREES(G15)</f>
        <v>-43.53375699766192</v>
      </c>
      <c r="G15">
        <f>ASIN(H15)</f>
        <v>-0.7598073953723219</v>
      </c>
      <c r="H15">
        <f>H9*H12+I9*I12*I11</f>
        <v>-0.6887818255631363</v>
      </c>
      <c r="I15">
        <f>COS(G15)</f>
        <v>0.7249686867540648</v>
      </c>
    </row>
    <row r="17" ht="12.75">
      <c r="A17" s="7" t="s">
        <v>17</v>
      </c>
    </row>
    <row r="18" spans="1:2" ht="12.75">
      <c r="A18" s="2" t="s">
        <v>13</v>
      </c>
      <c r="B18" s="9">
        <f>367*B11-INT(7*(B11+INT((B12+9)/12))/4)+INT(275*B12/9)+B13+(B14+B15/60)/24-730531.5+(-B7+B8)/24</f>
        <v>875.5</v>
      </c>
    </row>
    <row r="19" spans="1:2" ht="12.75">
      <c r="A19" s="2" t="s">
        <v>10</v>
      </c>
      <c r="B19" s="57">
        <f>B18/36525</f>
        <v>0.023969883641341547</v>
      </c>
    </row>
    <row r="20" spans="1:2" ht="12.75">
      <c r="A20" s="2" t="s">
        <v>14</v>
      </c>
      <c r="B20" s="9">
        <f>MOD(280.46061837+360.98564736629*B18+B5,360)</f>
        <v>241.47822089015972</v>
      </c>
    </row>
  </sheetData>
  <printOptions/>
  <pageMargins left="0.75" right="0.75" top="1" bottom="1" header="0.5" footer="0.5"/>
  <pageSetup horizontalDpi="360" verticalDpi="36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E13" sqref="E13"/>
    </sheetView>
  </sheetViews>
  <sheetFormatPr defaultColWidth="9.140625" defaultRowHeight="12.75"/>
  <cols>
    <col min="1" max="1" width="24.28125" style="0" customWidth="1"/>
    <col min="2" max="2" width="10.57421875" style="0" bestFit="1" customWidth="1"/>
    <col min="4" max="4" width="25.00390625" style="0" bestFit="1" customWidth="1"/>
    <col min="5" max="5" width="10.57421875" style="0" bestFit="1" customWidth="1"/>
    <col min="6" max="6" width="12.00390625" style="0" bestFit="1" customWidth="1"/>
  </cols>
  <sheetData>
    <row r="1" ht="18">
      <c r="A1" s="1" t="s">
        <v>1</v>
      </c>
    </row>
    <row r="2" ht="12.75">
      <c r="A2" s="10" t="s">
        <v>53</v>
      </c>
    </row>
    <row r="4" spans="1:9" ht="12.75">
      <c r="A4" s="7" t="s">
        <v>15</v>
      </c>
      <c r="D4" s="7" t="s">
        <v>50</v>
      </c>
      <c r="F4" t="s">
        <v>26</v>
      </c>
      <c r="G4" t="s">
        <v>27</v>
      </c>
      <c r="H4" t="s">
        <v>29</v>
      </c>
      <c r="I4" t="s">
        <v>30</v>
      </c>
    </row>
    <row r="5" spans="1:7" ht="12.75">
      <c r="A5" s="2" t="s">
        <v>11</v>
      </c>
      <c r="B5" s="3">
        <v>0</v>
      </c>
      <c r="D5" s="2" t="s">
        <v>22</v>
      </c>
      <c r="E5">
        <f>5+40/60+45/3600</f>
        <v>5.679166666666667</v>
      </c>
      <c r="F5">
        <f>E5*15</f>
        <v>85.1875</v>
      </c>
      <c r="G5">
        <f>RADIANS(F5)</f>
        <v>1.4868023565426696</v>
      </c>
    </row>
    <row r="6" spans="1:7" ht="12.75">
      <c r="A6" s="2" t="s">
        <v>12</v>
      </c>
      <c r="B6" s="3">
        <v>52.5</v>
      </c>
      <c r="D6" s="2" t="s">
        <v>23</v>
      </c>
      <c r="F6">
        <f>-(1+57/60+0/3600)</f>
        <v>-1.95</v>
      </c>
      <c r="G6">
        <f>RADIANS(F6)</f>
        <v>-0.034033920413889425</v>
      </c>
    </row>
    <row r="7" spans="1:2" ht="12.75">
      <c r="A7" s="2" t="s">
        <v>8</v>
      </c>
      <c r="B7" s="4">
        <v>0</v>
      </c>
    </row>
    <row r="8" spans="1:7" ht="12.75">
      <c r="A8" s="2" t="s">
        <v>9</v>
      </c>
      <c r="B8" s="4">
        <v>0</v>
      </c>
      <c r="D8" s="2" t="s">
        <v>24</v>
      </c>
      <c r="E8">
        <f>E5+(3.0742+1.33589*SIN(G50)*TAN(G6))/36*B17</f>
        <v>5.680888583390372</v>
      </c>
      <c r="F8">
        <f>E8*15</f>
        <v>85.21332875085558</v>
      </c>
      <c r="G8">
        <f>RADIANS(E8*15)</f>
        <v>1.4872531532867768</v>
      </c>
    </row>
    <row r="9" spans="1:9" ht="12.75">
      <c r="A9" s="2"/>
      <c r="B9" s="4"/>
      <c r="D9" s="2" t="s">
        <v>25</v>
      </c>
      <c r="F9" s="3">
        <f>F6+(20.0383*COS(G5))/36*B17</f>
        <v>-1.9490583744522703</v>
      </c>
      <c r="G9">
        <f>RADIANS(F9)</f>
        <v>-0.03401748594776065</v>
      </c>
      <c r="H9">
        <f>SIN(G9)</f>
        <v>-0.0340109255486101</v>
      </c>
      <c r="I9">
        <f>COS(G9)</f>
        <v>0.9994214611180445</v>
      </c>
    </row>
    <row r="10" spans="1:2" ht="12.75">
      <c r="A10" s="8" t="s">
        <v>51</v>
      </c>
      <c r="B10" s="3"/>
    </row>
    <row r="11" spans="1:6" ht="12.75">
      <c r="A11" s="2" t="s">
        <v>3</v>
      </c>
      <c r="B11" s="5">
        <v>2002</v>
      </c>
      <c r="D11" s="2" t="s">
        <v>52</v>
      </c>
      <c r="E11">
        <f>F11/15</f>
        <v>22.526552680670807</v>
      </c>
      <c r="F11" s="9">
        <f>MOD(F8-B18,360)*0.9972695663</f>
        <v>337.8982902100621</v>
      </c>
    </row>
    <row r="12" spans="1:9" ht="12.75">
      <c r="A12" s="2" t="s">
        <v>5</v>
      </c>
      <c r="B12" s="6">
        <v>1</v>
      </c>
      <c r="D12" s="2" t="s">
        <v>55</v>
      </c>
      <c r="E12">
        <f>F12/15</f>
        <v>5.8305415809759005</v>
      </c>
      <c r="F12">
        <f>DEGREES(G12)</f>
        <v>87.4581237146385</v>
      </c>
      <c r="G12">
        <f>ACOS(I12)</f>
        <v>1.5264322164369755</v>
      </c>
      <c r="I12">
        <f>-TAN(RADIANS(B6))*TAN(G9)</f>
        <v>0.044349559073083245</v>
      </c>
    </row>
    <row r="13" spans="1:5" ht="12.75">
      <c r="A13" s="2" t="s">
        <v>4</v>
      </c>
      <c r="B13" s="6">
        <v>7</v>
      </c>
      <c r="E13" s="15"/>
    </row>
    <row r="14" spans="1:5" ht="12.75">
      <c r="A14" s="2"/>
      <c r="B14" s="6"/>
      <c r="E14" s="15"/>
    </row>
    <row r="15" ht="12.75">
      <c r="A15" s="7" t="s">
        <v>54</v>
      </c>
    </row>
    <row r="16" spans="1:2" ht="12.75">
      <c r="A16" s="2" t="s">
        <v>13</v>
      </c>
      <c r="B16" s="9">
        <f>367*B11-INT(7*(B11+INT((B12+9)/12))/4)+INT(275*B12/9)+B13-730531.5+(-B7+B8)/24</f>
        <v>736.5</v>
      </c>
    </row>
    <row r="17" spans="1:2" ht="12.75">
      <c r="A17" s="2" t="s">
        <v>10</v>
      </c>
      <c r="B17" s="9">
        <f>B16/36525</f>
        <v>0.020164271047227927</v>
      </c>
    </row>
    <row r="18" spans="1:2" ht="12.75">
      <c r="A18" s="2" t="s">
        <v>14</v>
      </c>
      <c r="B18" s="9">
        <f>MOD(280.46061837+360.98564736629*$B$16+$B$5,360)</f>
        <v>106.38990364252822</v>
      </c>
    </row>
    <row r="21" spans="1:2" ht="12.75">
      <c r="A21" s="2"/>
      <c r="B21" s="9"/>
    </row>
  </sheetData>
  <printOptions/>
  <pageMargins left="0.75" right="0.75" top="1" bottom="1" header="0.5" footer="0.5"/>
  <pageSetup horizontalDpi="360" verticalDpi="36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selection activeCell="I10" sqref="I10"/>
    </sheetView>
  </sheetViews>
  <sheetFormatPr defaultColWidth="9.140625" defaultRowHeight="12.75"/>
  <cols>
    <col min="1" max="1" width="21.8515625" style="0" customWidth="1"/>
    <col min="2" max="2" width="12.57421875" style="0" bestFit="1" customWidth="1"/>
    <col min="3" max="4" width="10.57421875" style="0" bestFit="1" customWidth="1"/>
    <col min="5" max="5" width="8.8515625" style="0" customWidth="1"/>
    <col min="6" max="6" width="8.57421875" style="0" bestFit="1" customWidth="1"/>
    <col min="7" max="10" width="10.57421875" style="0" bestFit="1" customWidth="1"/>
  </cols>
  <sheetData>
    <row r="1" ht="18">
      <c r="A1" s="1" t="s">
        <v>2</v>
      </c>
    </row>
    <row r="2" ht="12.75">
      <c r="A2" s="10" t="s">
        <v>247</v>
      </c>
    </row>
    <row r="4" spans="1:4" ht="12.75">
      <c r="A4" s="7" t="s">
        <v>15</v>
      </c>
      <c r="D4" s="7" t="s">
        <v>80</v>
      </c>
    </row>
    <row r="5" spans="1:7" ht="12.75">
      <c r="A5" s="2" t="s">
        <v>11</v>
      </c>
      <c r="B5" s="3">
        <v>0</v>
      </c>
      <c r="D5" s="20"/>
      <c r="E5" s="25" t="s">
        <v>81</v>
      </c>
      <c r="F5" s="23" t="s">
        <v>82</v>
      </c>
      <c r="G5" s="19" t="s">
        <v>83</v>
      </c>
    </row>
    <row r="6" spans="1:7" ht="12.75">
      <c r="A6" s="2" t="s">
        <v>12</v>
      </c>
      <c r="B6" s="3">
        <f>(41+29/60)</f>
        <v>41.483333333333334</v>
      </c>
      <c r="D6" s="21" t="s">
        <v>34</v>
      </c>
      <c r="E6" s="26">
        <f>B53</f>
        <v>10.09721634671146</v>
      </c>
      <c r="F6" s="24">
        <f>B52</f>
        <v>12.454524689271768</v>
      </c>
      <c r="G6" s="3">
        <f>SQRT(B47^2+B48^2+B49^2)</f>
        <v>1.1258225635032602</v>
      </c>
    </row>
    <row r="7" spans="1:7" ht="12.75">
      <c r="A7" s="2" t="s">
        <v>8</v>
      </c>
      <c r="B7" s="4">
        <v>0</v>
      </c>
      <c r="D7" s="21" t="s">
        <v>35</v>
      </c>
      <c r="E7" s="26">
        <f>C53</f>
        <v>8.22570166717184</v>
      </c>
      <c r="F7" s="24">
        <f>C52</f>
        <v>20.766547605013763</v>
      </c>
      <c r="G7" s="3">
        <f>SQRT(C47^2+C48^2+C49^2)</f>
        <v>1.7226585228124325</v>
      </c>
    </row>
    <row r="8" spans="1:7" ht="12.75">
      <c r="A8" s="2" t="s">
        <v>9</v>
      </c>
      <c r="B8" s="4">
        <v>0</v>
      </c>
      <c r="D8" s="21" t="s">
        <v>37</v>
      </c>
      <c r="E8" s="26">
        <f>E53</f>
        <v>22.932427218614986</v>
      </c>
      <c r="F8" s="24">
        <f>E52</f>
        <v>-13.34981306618286</v>
      </c>
      <c r="G8" s="3">
        <f>SQRT(E47^2+E48^2+E49^2)</f>
        <v>0.42594747599063</v>
      </c>
    </row>
    <row r="9" spans="1:7" ht="12.75">
      <c r="A9" s="2"/>
      <c r="B9" s="4"/>
      <c r="D9" s="21" t="s">
        <v>38</v>
      </c>
      <c r="E9" s="26">
        <f>F53</f>
        <v>9.760913247489103</v>
      </c>
      <c r="F9" s="24">
        <f>F52</f>
        <v>14.338198849850885</v>
      </c>
      <c r="G9" s="3">
        <f>SQRT(F47^2+F48^2+F49^2)</f>
        <v>6.326015665654113</v>
      </c>
    </row>
    <row r="10" spans="1:7" ht="12.75">
      <c r="A10" s="8" t="s">
        <v>16</v>
      </c>
      <c r="B10" s="3"/>
      <c r="D10" s="21" t="s">
        <v>39</v>
      </c>
      <c r="E10" s="26">
        <f>G53</f>
        <v>6.503142929268894</v>
      </c>
      <c r="F10" s="24">
        <f>G52</f>
        <v>22.485153945028657</v>
      </c>
      <c r="G10" s="3">
        <f>SQRT(G47^2+G48^2+G49^2)</f>
        <v>9.891113650781206</v>
      </c>
    </row>
    <row r="11" spans="1:7" ht="12.75">
      <c r="A11" s="2" t="s">
        <v>3</v>
      </c>
      <c r="B11" s="5">
        <v>2003</v>
      </c>
      <c r="D11" s="21" t="s">
        <v>41</v>
      </c>
      <c r="E11" s="26">
        <f>H53</f>
        <v>22.26914958692244</v>
      </c>
      <c r="F11" s="24">
        <f>H52</f>
        <v>-11.586535662663247</v>
      </c>
      <c r="G11" s="3">
        <f>SQRT(H47^2+H48^2+H49^2)</f>
        <v>19.111508252948536</v>
      </c>
    </row>
    <row r="12" spans="1:7" ht="12.75">
      <c r="A12" s="2" t="s">
        <v>5</v>
      </c>
      <c r="B12" s="6">
        <v>7</v>
      </c>
      <c r="D12" s="21" t="s">
        <v>40</v>
      </c>
      <c r="E12" s="26">
        <f>I53</f>
        <v>20.956760598627977</v>
      </c>
      <c r="F12" s="24">
        <f>I52</f>
        <v>-17.22395203531064</v>
      </c>
      <c r="G12" s="3">
        <f>SQRT(I47^2+I48^2+I49^2)</f>
        <v>29.070585091512143</v>
      </c>
    </row>
    <row r="13" spans="1:7" ht="12.75">
      <c r="A13" s="2" t="s">
        <v>4</v>
      </c>
      <c r="B13" s="6">
        <v>30</v>
      </c>
      <c r="D13" s="21" t="s">
        <v>42</v>
      </c>
      <c r="E13" s="26">
        <f>J53</f>
        <v>17.14887844864994</v>
      </c>
      <c r="F13" s="24">
        <f>J52</f>
        <v>-13.541772000043103</v>
      </c>
      <c r="G13" s="3">
        <f>SQRT(J47^2+J48^2+J49^2)</f>
        <v>30.01456398999396</v>
      </c>
    </row>
    <row r="14" spans="1:2" ht="12.75">
      <c r="A14" s="2" t="s">
        <v>6</v>
      </c>
      <c r="B14" s="6">
        <v>0</v>
      </c>
    </row>
    <row r="15" spans="1:2" ht="12.75">
      <c r="A15" s="2" t="s">
        <v>7</v>
      </c>
      <c r="B15" s="6">
        <v>0</v>
      </c>
    </row>
    <row r="16" ht="12.75">
      <c r="E16" s="15"/>
    </row>
    <row r="17" spans="1:5" ht="12.75">
      <c r="A17" s="7" t="s">
        <v>56</v>
      </c>
      <c r="E17" s="15"/>
    </row>
    <row r="18" spans="1:2" ht="12.75">
      <c r="A18" s="2" t="s">
        <v>13</v>
      </c>
      <c r="B18" s="9">
        <f>367*B11-INT(7*(B11+INT((B12+9)/12))/4)+INT(275*B12/9)+B13+(B14+B15/60)/24-730531.5+(-B7+B8)/24</f>
        <v>1305.5</v>
      </c>
    </row>
    <row r="19" spans="1:2" ht="12.75">
      <c r="A19" s="2" t="s">
        <v>10</v>
      </c>
      <c r="B19" s="9">
        <f>B18/36525</f>
        <v>0.03574264202600958</v>
      </c>
    </row>
    <row r="20" spans="1:2" ht="12.75">
      <c r="A20" s="2" t="s">
        <v>14</v>
      </c>
      <c r="B20" s="9">
        <f>MOD(280.46061837+360.98564736629*B18+B5,360)</f>
        <v>307.2232550615445</v>
      </c>
    </row>
    <row r="21" ht="12.75">
      <c r="E21" s="14"/>
    </row>
    <row r="22" ht="12.75">
      <c r="A22" s="7" t="s">
        <v>48</v>
      </c>
    </row>
    <row r="23" spans="1:10" ht="12.75">
      <c r="A23" s="7"/>
      <c r="B23" s="11" t="s">
        <v>34</v>
      </c>
      <c r="C23" s="11" t="s">
        <v>35</v>
      </c>
      <c r="D23" s="11" t="s">
        <v>36</v>
      </c>
      <c r="E23" s="11" t="s">
        <v>37</v>
      </c>
      <c r="F23" s="11" t="s">
        <v>38</v>
      </c>
      <c r="G23" s="11" t="s">
        <v>39</v>
      </c>
      <c r="H23" s="11" t="s">
        <v>41</v>
      </c>
      <c r="I23" s="11" t="s">
        <v>40</v>
      </c>
      <c r="J23" s="11" t="s">
        <v>42</v>
      </c>
    </row>
    <row r="24" spans="1:10" ht="12.75">
      <c r="A24" s="2" t="s">
        <v>43</v>
      </c>
      <c r="B24" s="3">
        <f>0.38709893+0.00000066*$B$19</f>
        <v>0.38709895359014374</v>
      </c>
      <c r="C24" s="3">
        <f>0.72333199+0.00000092*$B$19</f>
        <v>0.7233320228832307</v>
      </c>
      <c r="D24" s="3">
        <f>1.00000011-0.00000005*$B$19</f>
        <v>1.000000108212868</v>
      </c>
      <c r="E24" s="3">
        <f>1.52366231+0.00007221*$B$19</f>
        <v>1.5236648909761807</v>
      </c>
      <c r="F24" s="3">
        <f>5.20336301+0.00060737*$B$19</f>
        <v>5.203384719008488</v>
      </c>
      <c r="G24" s="3">
        <f>9.53707032-0.0030153*$B$19</f>
        <v>9.536962545211498</v>
      </c>
      <c r="H24" s="3">
        <f>19.19126393+0.00152025*$B$19</f>
        <v>19.19131826775154</v>
      </c>
      <c r="I24" s="3">
        <f>30.06896348-0.00125196*$B$19</f>
        <v>30.06891873164189</v>
      </c>
      <c r="J24" s="3">
        <f>39.481686773-0.00076912*$B$19</f>
        <v>39.48165928261916</v>
      </c>
    </row>
    <row r="25" spans="1:10" ht="12.75">
      <c r="A25" s="2" t="s">
        <v>44</v>
      </c>
      <c r="B25" s="3">
        <f>0.20563069+0.00002527*$B$19</f>
        <v>0.205631593216564</v>
      </c>
      <c r="C25" s="3">
        <f>0.00677323-0.00004938*$B$19</f>
        <v>0.006771465028336756</v>
      </c>
      <c r="D25" s="3">
        <f>0.01671022-0.00003804*$B$19</f>
        <v>0.016708860349897332</v>
      </c>
      <c r="E25" s="3">
        <f>0.09341233+0.00011902*$B$19</f>
        <v>0.09341658408925393</v>
      </c>
      <c r="F25" s="3">
        <f>0.04839266-0.0001288*$B$19</f>
        <v>0.04838805634770705</v>
      </c>
      <c r="G25" s="3">
        <f>0.0541506-0.00036762*$B$19</f>
        <v>0.0541374602899384</v>
      </c>
      <c r="H25" s="3">
        <f>0.04716771-0.0001915*$B$19</f>
        <v>0.04716086528405202</v>
      </c>
      <c r="I25" s="3">
        <f>0.00858587+0.00002514*$B$19</f>
        <v>0.008586768570020534</v>
      </c>
      <c r="J25" s="3">
        <f>0.24880766+0.00006465*$B$19</f>
        <v>0.248809970761807</v>
      </c>
    </row>
    <row r="26" spans="1:10" ht="12.75">
      <c r="A26" s="2" t="s">
        <v>49</v>
      </c>
      <c r="B26" s="3">
        <f>7.00487-23.51*$B$19/3600</f>
        <v>7.004636580690547</v>
      </c>
      <c r="C26" s="3">
        <f>3.39471-2.86*$B$19/3600</f>
        <v>3.3946816044566126</v>
      </c>
      <c r="D26" s="3">
        <f>0.00005-46.94*$B$19/3600</f>
        <v>-0.0004160443379724693</v>
      </c>
      <c r="E26" s="3">
        <f>1.85061-25.47*$B$19/3600</f>
        <v>1.8503571208076661</v>
      </c>
      <c r="F26" s="3">
        <f>1.3053-4.15*$B$19/3600</f>
        <v>1.3052587966765532</v>
      </c>
      <c r="G26" s="3">
        <f>2.48446+6.11*$B$19/3600</f>
        <v>2.4845206632063275</v>
      </c>
      <c r="H26" s="3">
        <f>0.76986-2.09*$B$19/3600</f>
        <v>0.7698392494106016</v>
      </c>
      <c r="I26" s="3">
        <f>1.76917-3.64*$B$19/3600</f>
        <v>1.7691338602175068</v>
      </c>
      <c r="J26" s="3">
        <f>17.14175+11.07*$B$19/3600</f>
        <v>17.141859908624227</v>
      </c>
    </row>
    <row r="27" spans="1:10" ht="12.75">
      <c r="A27" s="2" t="s">
        <v>45</v>
      </c>
      <c r="B27" s="3">
        <f>48.33167-446.3*$B$19/3600</f>
        <v>48.327238905239945</v>
      </c>
      <c r="C27" s="3">
        <f>76.68069-996.89*$B$19/3600</f>
        <v>76.67079236599741</v>
      </c>
      <c r="D27" s="3">
        <f>-11.26064-18228.25*$B$19/3600</f>
        <v>-11.441619392919614</v>
      </c>
      <c r="E27" s="3">
        <f>49.57854-1020.19*$B$19/3600</f>
        <v>49.56841103167541</v>
      </c>
      <c r="F27" s="3">
        <f>100.55615+1217.17*$B$19/3600</f>
        <v>100.5682346865541</v>
      </c>
      <c r="G27" s="3">
        <f>113.71504-1591.05*$B$19/3600</f>
        <v>113.69924324150125</v>
      </c>
      <c r="H27" s="3">
        <f>74.22988+1681.4*$B$19/3600</f>
        <v>74.24657379952848</v>
      </c>
      <c r="I27" s="3">
        <f>131.72169-151.25*$B$19/3600</f>
        <v>131.7201883126093</v>
      </c>
      <c r="J27" s="3">
        <f>110.30347-37.33*$B$19/3600</f>
        <v>110.30309936865922</v>
      </c>
    </row>
    <row r="28" spans="1:10" ht="12.75">
      <c r="A28" s="2" t="s">
        <v>46</v>
      </c>
      <c r="B28" s="3">
        <f>77.45645+573.57*$B$19/3600</f>
        <v>77.4621446964408</v>
      </c>
      <c r="C28" s="3">
        <f>131.53298-108.8*$B$19/3600</f>
        <v>131.53189977792988</v>
      </c>
      <c r="D28" s="3">
        <f>102.94719+1198.28*$B$19/3600</f>
        <v>102.95908713696859</v>
      </c>
      <c r="E28" s="3">
        <f>336.04084+1560.78*$B$19/3600</f>
        <v>336.0563362224504</v>
      </c>
      <c r="F28" s="3">
        <f>14.75385+839.93*$B$19/3600</f>
        <v>14.762189254810252</v>
      </c>
      <c r="G28" s="3">
        <f>92.43194-1948.89*$B$19/3600</f>
        <v>92.41259042288387</v>
      </c>
      <c r="H28" s="3">
        <f>170.96424+1312.56*$B$19/3600</f>
        <v>170.97727176728267</v>
      </c>
      <c r="I28" s="3">
        <f>44.97135-844.43*$B$19/3600</f>
        <v>44.96296606688722</v>
      </c>
      <c r="J28" s="3">
        <f>224.06676-132.25*$B$19/3600</f>
        <v>224.06544695433112</v>
      </c>
    </row>
    <row r="29" spans="1:10" ht="12.75">
      <c r="A29" s="2" t="s">
        <v>47</v>
      </c>
      <c r="B29" s="3">
        <f>MOD(252.25084+149472.674525*$B$19,360)</f>
        <v>194.7991382173168</v>
      </c>
      <c r="C29" s="3">
        <f>MOD(181.97973+58517.8155722222*$B$19,360)</f>
        <v>113.56106414198712</v>
      </c>
      <c r="D29" s="3">
        <f>MOD(100.46435+35999.3723972222*$B$19,360)</f>
        <v>307.1770307549234</v>
      </c>
      <c r="E29" s="3">
        <f>MOD(355.45332+19140.3066055556*$B$19,360)</f>
        <v>319.5784472704404</v>
      </c>
      <c r="F29" s="3">
        <f>MOD(34.40438+3034.74398611111*$B$19,360)</f>
        <v>142.87414793615483</v>
      </c>
      <c r="G29" s="3">
        <f>MOD(49.94432+1222.51470833333*$B$19,360)</f>
        <v>93.64022559148972</v>
      </c>
      <c r="H29" s="3">
        <f>MOD(313.23218+428.48549722222*$B$19,360)</f>
        <v>328.5473837405506</v>
      </c>
      <c r="I29" s="3">
        <f>MOD(304.88003+218.45811388889*$B$19,360)</f>
        <v>312.6883001624078</v>
      </c>
      <c r="J29" s="3">
        <f>MOD(238.92881+145.20775*$B$19,360)</f>
        <v>244.1189186276523</v>
      </c>
    </row>
    <row r="30" spans="1:10" ht="12.75">
      <c r="A30" s="7" t="s">
        <v>57</v>
      </c>
      <c r="B30" s="3">
        <f>DEGREES(B31)</f>
        <v>117.336993520876</v>
      </c>
      <c r="C30" s="3">
        <f aca="true" t="shared" si="0" ref="C30:I30">DEGREES(C31)</f>
        <v>342.02916436405724</v>
      </c>
      <c r="D30" s="3">
        <f t="shared" si="0"/>
        <v>204.2179436179548</v>
      </c>
      <c r="E30" s="3">
        <f t="shared" si="0"/>
        <v>343.52211104799</v>
      </c>
      <c r="F30" s="3">
        <f t="shared" si="0"/>
        <v>128.11195868134456</v>
      </c>
      <c r="G30" s="3">
        <f t="shared" si="0"/>
        <v>1.2276351686058578</v>
      </c>
      <c r="H30" s="3">
        <f t="shared" si="0"/>
        <v>157.5701119732679</v>
      </c>
      <c r="I30" s="3">
        <f t="shared" si="0"/>
        <v>267.72533409552057</v>
      </c>
      <c r="J30" s="3"/>
    </row>
    <row r="31" spans="1:10" ht="12.75">
      <c r="A31" s="2" t="s">
        <v>58</v>
      </c>
      <c r="B31" s="3">
        <f>RADIANS(MOD(B29-B28,360))</f>
        <v>2.04791687133054</v>
      </c>
      <c r="C31" s="3">
        <f aca="true" t="shared" si="1" ref="C31:J31">RADIANS(MOD(C29-C28,360))</f>
        <v>5.969535055997656</v>
      </c>
      <c r="D31" s="3">
        <f t="shared" si="1"/>
        <v>3.564275507785452</v>
      </c>
      <c r="E31" s="3">
        <f t="shared" si="1"/>
        <v>5.995591891189014</v>
      </c>
      <c r="F31" s="3">
        <f t="shared" si="1"/>
        <v>2.2359754901683955</v>
      </c>
      <c r="G31" s="3">
        <f t="shared" si="1"/>
        <v>0.02142627570544794</v>
      </c>
      <c r="H31" s="3">
        <f t="shared" si="1"/>
        <v>2.750117256669664</v>
      </c>
      <c r="I31" s="3">
        <f t="shared" si="1"/>
        <v>4.672688570968669</v>
      </c>
      <c r="J31" s="3">
        <f t="shared" si="1"/>
        <v>0.34999910715487137</v>
      </c>
    </row>
    <row r="32" spans="1:10" ht="12.75">
      <c r="A32" s="2" t="s">
        <v>59</v>
      </c>
      <c r="B32" s="3">
        <f>B31+(2*B25-0.25*B25^3+5/96*B25^5)*SIN(B31)+(1.25*B25^2-11/24*B25^4)*SIN(2*B31)+(13/12*B25^3-43/64*B25^5)*SIN(3*B31)+103/96*B25^4*SIN(4*B31)+1097/960*B25^5*SIN(5*B31)</f>
        <v>2.369111223875094</v>
      </c>
      <c r="C32" s="3">
        <f aca="true" t="shared" si="2" ref="C32:J32">C31+(2*C25-0.25*C25^3+5/96*C25^5)*SIN(C31)+(1.25*C25^2-11/24*C25^4)*SIN(2*C31)+(13/12*C25^3-43/64*C25^5)*SIN(3*C31)+103/96*C25^4*SIN(4*C31)+1097/960*C25^5*SIN(5*C31)</f>
        <v>5.965322725456016</v>
      </c>
      <c r="D32" s="3">
        <f t="shared" si="2"/>
        <v>3.550824093090342</v>
      </c>
      <c r="E32" s="3">
        <f t="shared" si="2"/>
        <v>5.935990288791383</v>
      </c>
      <c r="F32" s="3">
        <f t="shared" si="2"/>
        <v>2.3093100673528197</v>
      </c>
      <c r="G32" s="3">
        <f t="shared" si="2"/>
        <v>0.02391382131939198</v>
      </c>
      <c r="H32" s="3">
        <f t="shared" si="2"/>
        <v>2.7842361060202796</v>
      </c>
      <c r="I32" s="3">
        <f t="shared" si="2"/>
        <v>4.655536714175598</v>
      </c>
      <c r="J32" s="3">
        <f t="shared" si="2"/>
        <v>0.587090624024976</v>
      </c>
    </row>
    <row r="33" spans="1:10" ht="12.75">
      <c r="A33" s="16" t="s">
        <v>60</v>
      </c>
      <c r="B33" s="3">
        <f aca="true" t="shared" si="3" ref="B33:J33">DEGREES(B32)</f>
        <v>135.740074325116</v>
      </c>
      <c r="C33" s="3">
        <f t="shared" si="3"/>
        <v>341.7878156021072</v>
      </c>
      <c r="D33" s="3">
        <f t="shared" si="3"/>
        <v>203.44723432744473</v>
      </c>
      <c r="E33" s="3">
        <f t="shared" si="3"/>
        <v>340.10719077838894</v>
      </c>
      <c r="F33" s="3">
        <f t="shared" si="3"/>
        <v>132.31372044638846</v>
      </c>
      <c r="G33" s="3">
        <f t="shared" si="3"/>
        <v>1.3701610336311303</v>
      </c>
      <c r="H33" s="3">
        <f t="shared" si="3"/>
        <v>159.52497804290084</v>
      </c>
      <c r="I33" s="3">
        <f t="shared" si="3"/>
        <v>266.74260509046485</v>
      </c>
      <c r="J33" s="3">
        <f t="shared" si="3"/>
        <v>33.63781494833294</v>
      </c>
    </row>
    <row r="34" spans="1:10" ht="12.75">
      <c r="A34" s="2" t="s">
        <v>61</v>
      </c>
      <c r="B34" s="3">
        <f aca="true" t="shared" si="4" ref="B34:J34">B24*(1-B25^2)/(1+B25*COS(B32))</f>
        <v>0.43475717542603803</v>
      </c>
      <c r="C34" s="3">
        <f t="shared" si="4"/>
        <v>0.7186761495862282</v>
      </c>
      <c r="D34" s="3">
        <f t="shared" si="4"/>
        <v>1.0152843768730457</v>
      </c>
      <c r="E34" s="3">
        <f t="shared" si="4"/>
        <v>1.3884072331099122</v>
      </c>
      <c r="F34" s="3">
        <f t="shared" si="4"/>
        <v>5.365995229367383</v>
      </c>
      <c r="G34" s="3">
        <f t="shared" si="4"/>
        <v>9.020788076460088</v>
      </c>
      <c r="H34" s="3">
        <f t="shared" si="4"/>
        <v>20.0337546173133</v>
      </c>
      <c r="I34" s="3">
        <f t="shared" si="4"/>
        <v>30.08137880760524</v>
      </c>
      <c r="J34" s="3">
        <f t="shared" si="4"/>
        <v>30.68181034692773</v>
      </c>
    </row>
    <row r="35" spans="1:10" ht="12.75">
      <c r="A35" s="8" t="s">
        <v>62</v>
      </c>
      <c r="B35" s="3">
        <f>DEGREES(B31)</f>
        <v>117.336993520876</v>
      </c>
      <c r="C35" s="3">
        <f>DEGREES(C31)</f>
        <v>342.02916436405724</v>
      </c>
      <c r="D35" s="3">
        <f>DEGREES(D31)</f>
        <v>204.2179436179548</v>
      </c>
      <c r="E35" s="3"/>
      <c r="F35" s="3"/>
      <c r="G35" s="3"/>
      <c r="H35" s="3"/>
      <c r="I35" s="3"/>
      <c r="J35" s="3"/>
    </row>
    <row r="36" spans="1:10" ht="12.75">
      <c r="A36" s="2" t="s">
        <v>63</v>
      </c>
      <c r="B36" s="3">
        <f>*(B34-COS(RADIANS(B27))*COS(B32+RADIANS((B28-B27)))*COS(RADIANS(SIN(RADIANS(B27))*SIN(B32+RADIANS(B28-B27))/#REF!)))</f>
        <v>-0.36314763816754125</v>
      </c>
      <c r="C36" s="3">
        <f>*(C34-COS(RADIANS(C27))*COS(C32+RADIANS((C28-C27)))*COS(RADIANS(SIN(RADIANS(C27))*SIN(C32+RADIANS(C28-C27))/#REF!)))</f>
        <v>-0.2837637788757385</v>
      </c>
      <c r="D36" s="3">
        <f>*(D34-COS(RADIANS(D27))*COS(D32+RADIANS((D28-D27)))*COS(RADIANS(SIN(RADIANS(D27))*SIN(D32+RADIANS(D28-D27))/#REF!)))</f>
        <v>0.6025790823923359</v>
      </c>
      <c r="E36" s="3">
        <f>*(E34-COS(RADIANS(E27))*COS(E32+RADIANS((E28-E27)))*COS(RADIANS(SIN(RADIANS(E27))*SIN(E32+RADIANS(E28-E27))/#REF!)))</f>
        <v>1.0009350933792087</v>
      </c>
      <c r="F36" s="3">
        <f>*(F34-COS(RADIANS(F27))*COS(F32+RADIANS((F28-F27)))*COS(RADIANS(SIN(RADIANS(F27))*SIN(F32+RADIANS(F28-F27))/#REF!)))</f>
        <v>-4.503177329424114</v>
      </c>
      <c r="G36" s="3">
        <f>*(G34-COS(RADIANS(G27))*COS(G32+RADIANS((G28-G27)))*COS(RADIANS(SIN(RADIANS(G27))*SIN(G32+RADIANS(G28-G27))/#REF!)))</f>
        <v>-0.5977781455869011</v>
      </c>
      <c r="H36" s="3">
        <f>*(H34-COS(RADIANS(H27))*COS(H32+RADIANS((H28-H27)))*COS(RADIANS(SIN(RADIANS(H27))*SIN(H32+RADIANS(H28-H27))/#REF!)))</f>
        <v>17.43518921402978</v>
      </c>
      <c r="I36" s="3">
        <f>*(I34-COS(RADIANS(I27))*COS(I32+RADIANS((I28-I27)))*COS(RADIANS(SIN(RADIANS(I27))*SIN(I32+RADIANS(I28-I27))/#REF!)))</f>
        <v>20.01323281828897</v>
      </c>
      <c r="J36" s="3">
        <f>*(J34-COS(RADIANS(J27))*COS(J32+RADIANS((J28-J27)))*COS(RADIANS(SIN(RADIANS(J27))*SIN(J32+RADIANS(J28-J27))/#REF!)))</f>
        <v>-5.845760026856826</v>
      </c>
    </row>
    <row r="37" spans="1:10" ht="12.75">
      <c r="A37" s="2" t="s">
        <v>64</v>
      </c>
      <c r="B37" s="3">
        <f aca="true" t="shared" si="5" ref="B37:J37">B34*(SIN(RADIANS(B27))*COS(B32+RADIANS((B28-B27)))+COS(RADIANS(B27))*SIN(B32+RADIANS(B28-B27))*COS(RADIANS(B26)))</f>
        <v>-0.23863406605985946</v>
      </c>
      <c r="C37" s="3">
        <f t="shared" si="5"/>
        <v>0.659794115102577</v>
      </c>
      <c r="D37" s="3">
        <f t="shared" si="5"/>
        <v>-0.8171296196817374</v>
      </c>
      <c r="E37" s="3">
        <f t="shared" si="5"/>
        <v>-0.9611456146945228</v>
      </c>
      <c r="F37" s="3">
        <f t="shared" si="5"/>
        <v>2.9167508258183026</v>
      </c>
      <c r="G37" s="3">
        <f t="shared" si="5"/>
        <v>8.999974105121295</v>
      </c>
      <c r="H37" s="3">
        <f t="shared" si="5"/>
        <v>-9.863931188640242</v>
      </c>
      <c r="I37" s="3">
        <f t="shared" si="5"/>
        <v>-22.457957678103107</v>
      </c>
      <c r="J37" s="3">
        <f t="shared" si="5"/>
        <v>-29.723102104296032</v>
      </c>
    </row>
    <row r="38" spans="1:10" ht="12.75">
      <c r="A38" s="2" t="s">
        <v>65</v>
      </c>
      <c r="B38" s="3">
        <f aca="true" t="shared" si="6" ref="B38:J38">B34*(SIN(B32+RADIANS(B28-B27))*SIN(RADIANS(B26)))</f>
        <v>0.013833907383742237</v>
      </c>
      <c r="C38" s="3">
        <f t="shared" si="6"/>
        <v>0.025401800295546544</v>
      </c>
      <c r="D38" s="3">
        <f t="shared" si="6"/>
        <v>4.94757346746229E-06</v>
      </c>
      <c r="E38" s="3">
        <f t="shared" si="6"/>
        <v>-0.04475143737764482</v>
      </c>
      <c r="F38" s="3">
        <f t="shared" si="6"/>
        <v>0.08867559665696689</v>
      </c>
      <c r="G38" s="3">
        <f t="shared" si="6"/>
        <v>-0.1332100454519681</v>
      </c>
      <c r="H38" s="3">
        <f t="shared" si="6"/>
        <v>-0.26146250873109794</v>
      </c>
      <c r="I38" s="3">
        <f t="shared" si="6"/>
        <v>0.00023692288478747514</v>
      </c>
      <c r="J38" s="3">
        <f t="shared" si="6"/>
        <v>4.8721429752047545</v>
      </c>
    </row>
    <row r="39" spans="1:10" ht="12.75">
      <c r="A39" s="7" t="s">
        <v>66</v>
      </c>
      <c r="B39" s="3"/>
      <c r="C39" s="3"/>
      <c r="D39" s="3"/>
      <c r="E39" s="3"/>
      <c r="F39" s="3"/>
      <c r="G39" s="3"/>
      <c r="H39" s="3"/>
      <c r="I39" s="3"/>
      <c r="J39" s="3"/>
    </row>
    <row r="40" spans="1:10" ht="12.75">
      <c r="A40" s="2" t="s">
        <v>67</v>
      </c>
      <c r="B40" s="3">
        <f>B36-$D36</f>
        <v>-0.9657267205598772</v>
      </c>
      <c r="C40" s="3">
        <f aca="true" t="shared" si="7" ref="C40:J42">C36-$D36</f>
        <v>-0.8863428612680744</v>
      </c>
      <c r="D40" s="3">
        <f t="shared" si="7"/>
        <v>0</v>
      </c>
      <c r="E40" s="3">
        <f t="shared" si="7"/>
        <v>0.3983560109868728</v>
      </c>
      <c r="F40" s="3">
        <f t="shared" si="7"/>
        <v>-5.10575641181645</v>
      </c>
      <c r="G40" s="3">
        <f t="shared" si="7"/>
        <v>-1.2003572279792372</v>
      </c>
      <c r="H40" s="3">
        <f t="shared" si="7"/>
        <v>16.832610131637445</v>
      </c>
      <c r="I40" s="3">
        <f t="shared" si="7"/>
        <v>19.410653735896634</v>
      </c>
      <c r="J40" s="3">
        <f t="shared" si="7"/>
        <v>-6.448339109249162</v>
      </c>
    </row>
    <row r="41" spans="1:10" ht="12.75">
      <c r="A41" s="2" t="s">
        <v>68</v>
      </c>
      <c r="B41" s="3">
        <f>B37-$D37</f>
        <v>0.5784955536218779</v>
      </c>
      <c r="C41" s="3">
        <f t="shared" si="7"/>
        <v>1.4769237347843145</v>
      </c>
      <c r="D41" s="3">
        <f t="shared" si="7"/>
        <v>0</v>
      </c>
      <c r="E41" s="3">
        <f t="shared" si="7"/>
        <v>-0.1440159950127854</v>
      </c>
      <c r="F41" s="3">
        <f t="shared" si="7"/>
        <v>3.73388044550004</v>
      </c>
      <c r="G41" s="3">
        <f t="shared" si="7"/>
        <v>9.817103724803031</v>
      </c>
      <c r="H41" s="3">
        <f t="shared" si="7"/>
        <v>-9.046801568958506</v>
      </c>
      <c r="I41" s="3">
        <f t="shared" si="7"/>
        <v>-21.64082805842137</v>
      </c>
      <c r="J41" s="3">
        <f t="shared" si="7"/>
        <v>-28.905972484614296</v>
      </c>
    </row>
    <row r="42" spans="1:10" ht="12.75">
      <c r="A42" s="2" t="s">
        <v>69</v>
      </c>
      <c r="B42" s="3">
        <f>B38-$D38</f>
        <v>0.013828959810274774</v>
      </c>
      <c r="C42" s="3">
        <f t="shared" si="7"/>
        <v>0.02539685272207908</v>
      </c>
      <c r="D42" s="3">
        <f t="shared" si="7"/>
        <v>0</v>
      </c>
      <c r="E42" s="3">
        <f t="shared" si="7"/>
        <v>-0.04475638495111228</v>
      </c>
      <c r="F42" s="3">
        <f t="shared" si="7"/>
        <v>0.08867064908349943</v>
      </c>
      <c r="G42" s="3">
        <f t="shared" si="7"/>
        <v>-0.13321499302543557</v>
      </c>
      <c r="H42" s="3">
        <f t="shared" si="7"/>
        <v>-0.2614674563045654</v>
      </c>
      <c r="I42" s="3">
        <f t="shared" si="7"/>
        <v>0.00023197531132001286</v>
      </c>
      <c r="J42" s="3">
        <f t="shared" si="7"/>
        <v>4.872138027631287</v>
      </c>
    </row>
    <row r="43" spans="1:10" ht="12.75">
      <c r="A43" s="7" t="s">
        <v>70</v>
      </c>
      <c r="B43" s="3"/>
      <c r="C43" s="3"/>
      <c r="D43" s="3"/>
      <c r="E43" s="3"/>
      <c r="F43" s="3"/>
      <c r="G43" s="3"/>
      <c r="H43" s="3"/>
      <c r="I43" s="3"/>
      <c r="J43" s="3"/>
    </row>
    <row r="44" spans="2:10" ht="12.75">
      <c r="B44" s="3"/>
      <c r="C44" s="18" t="s">
        <v>72</v>
      </c>
      <c r="D44" s="18" t="s">
        <v>29</v>
      </c>
      <c r="E44" s="18" t="s">
        <v>30</v>
      </c>
      <c r="F44" s="3"/>
      <c r="G44" s="3"/>
      <c r="H44" s="3"/>
      <c r="I44" s="3"/>
      <c r="J44" s="3"/>
    </row>
    <row r="45" spans="1:10" ht="12.75">
      <c r="A45" s="2" t="s">
        <v>71</v>
      </c>
      <c r="B45" s="3">
        <v>23.439292</v>
      </c>
      <c r="C45" s="3">
        <f>RADIANS(B45)</f>
        <v>0.4090928197363667</v>
      </c>
      <c r="D45" s="3">
        <f>SIN(C45)</f>
        <v>0.397777170165765</v>
      </c>
      <c r="E45" s="3">
        <f>COS(C45)</f>
        <v>0.9174820558980519</v>
      </c>
      <c r="F45" s="3"/>
      <c r="G45" s="3"/>
      <c r="H45" s="3"/>
      <c r="I45" s="3"/>
      <c r="J45" s="3"/>
    </row>
    <row r="46" spans="1:10" ht="12.75">
      <c r="A46" s="2"/>
      <c r="B46" s="3"/>
      <c r="C46" s="3"/>
      <c r="D46" s="3"/>
      <c r="E46" s="3"/>
      <c r="F46" s="3"/>
      <c r="G46" s="3"/>
      <c r="H46" s="3"/>
      <c r="I46" s="3"/>
      <c r="J46" s="3"/>
    </row>
    <row r="47" spans="1:10" ht="12.75">
      <c r="A47" s="2" t="s">
        <v>73</v>
      </c>
      <c r="B47" s="3">
        <f>B40</f>
        <v>-0.9657267205598772</v>
      </c>
      <c r="C47" s="3">
        <f aca="true" t="shared" si="8" ref="C47:J47">C40</f>
        <v>-0.8863428612680744</v>
      </c>
      <c r="D47" s="3"/>
      <c r="E47" s="3">
        <f t="shared" si="8"/>
        <v>0.3983560109868728</v>
      </c>
      <c r="F47" s="3">
        <f t="shared" si="8"/>
        <v>-5.10575641181645</v>
      </c>
      <c r="G47" s="3">
        <f t="shared" si="8"/>
        <v>-1.2003572279792372</v>
      </c>
      <c r="H47" s="3">
        <f t="shared" si="8"/>
        <v>16.832610131637445</v>
      </c>
      <c r="I47" s="3">
        <f t="shared" si="8"/>
        <v>19.410653735896634</v>
      </c>
      <c r="J47" s="3">
        <f t="shared" si="8"/>
        <v>-6.448339109249162</v>
      </c>
    </row>
    <row r="48" spans="1:10" ht="12.75">
      <c r="A48" s="2" t="s">
        <v>74</v>
      </c>
      <c r="B48" s="3">
        <f>B41*$E$45-B42*$D$45</f>
        <v>0.525258445365215</v>
      </c>
      <c r="C48" s="3">
        <f aca="true" t="shared" si="9" ref="C48:J48">C41*$E$45-C42*$D$45</f>
        <v>1.3449487363876367</v>
      </c>
      <c r="D48" s="3"/>
      <c r="E48" s="3">
        <f t="shared" si="9"/>
        <v>-0.11432902303383086</v>
      </c>
      <c r="F48" s="3">
        <f t="shared" si="9"/>
        <v>3.3904971477457146</v>
      </c>
      <c r="G48" s="3">
        <f t="shared" si="9"/>
        <v>9.060006391346018</v>
      </c>
      <c r="H48" s="3">
        <f t="shared" si="9"/>
        <v>-8.196272317930498</v>
      </c>
      <c r="I48" s="3">
        <f t="shared" si="9"/>
        <v>-19.85516369285957</v>
      </c>
      <c r="J48" s="3">
        <f t="shared" si="9"/>
        <v>-28.45873634020463</v>
      </c>
    </row>
    <row r="49" spans="1:10" ht="12.75">
      <c r="A49" s="2" t="s">
        <v>75</v>
      </c>
      <c r="B49" s="3">
        <f>B41*$D$45+B42*$E$45</f>
        <v>0.2428001467508506</v>
      </c>
      <c r="C49" s="3">
        <f aca="true" t="shared" si="10" ref="C49:J49">C41*$D$45+C42*$E$45</f>
        <v>0.6107877004219506</v>
      </c>
      <c r="D49" s="3"/>
      <c r="E49" s="3">
        <f t="shared" si="10"/>
        <v>-0.09834945503430383</v>
      </c>
      <c r="F49" s="3">
        <f t="shared" si="10"/>
        <v>1.5666061267672358</v>
      </c>
      <c r="G49" s="3">
        <f t="shared" si="10"/>
        <v>3.78279737319852</v>
      </c>
      <c r="H49" s="3">
        <f t="shared" si="10"/>
        <v>-3.838502826512264</v>
      </c>
      <c r="I49" s="3">
        <f t="shared" si="10"/>
        <v>-8.608014511937194</v>
      </c>
      <c r="J49" s="3">
        <f t="shared" si="10"/>
        <v>-7.028036721609109</v>
      </c>
    </row>
    <row r="50" spans="1:10" ht="12.75">
      <c r="A50" s="2" t="s">
        <v>76</v>
      </c>
      <c r="B50" s="3">
        <f>ATAN(B49/SQRT(B47^2+B48^2))</f>
        <v>0.21737246259871604</v>
      </c>
      <c r="C50" s="3">
        <f aca="true" t="shared" si="11" ref="C50:J50">ATAN(C49/SQRT(C47^2+C48^2))</f>
        <v>0.36244462997963306</v>
      </c>
      <c r="D50" s="3"/>
      <c r="E50" s="3">
        <f t="shared" si="11"/>
        <v>-0.23299819253065057</v>
      </c>
      <c r="F50" s="3">
        <f t="shared" si="11"/>
        <v>0.250248778735562</v>
      </c>
      <c r="G50" s="3">
        <f t="shared" si="11"/>
        <v>0.3924399691585421</v>
      </c>
      <c r="H50" s="3">
        <f t="shared" si="11"/>
        <v>-0.20222319621321666</v>
      </c>
      <c r="I50" s="3">
        <f t="shared" si="11"/>
        <v>-0.3006146732217493</v>
      </c>
      <c r="J50" s="3">
        <f t="shared" si="11"/>
        <v>-0.23634850795512985</v>
      </c>
    </row>
    <row r="51" spans="1:10" ht="12.75">
      <c r="A51" s="2" t="s">
        <v>77</v>
      </c>
      <c r="B51" s="3">
        <f>IF(B47&lt;0,PI()+ATAN(B48/B47),IF(B48&lt;0,2*PI()+ATAN(B48/B47),ATAN(B48/B47)))</f>
        <v>2.6434450580446245</v>
      </c>
      <c r="C51" s="3">
        <f aca="true" t="shared" si="12" ref="C51:J51">IF(C47&lt;0,PI()+ATAN(C48/C47),IF(C48&lt;0,2*PI()+ATAN(C48/C47),ATAN(C48/C47)))</f>
        <v>2.1534836606840306</v>
      </c>
      <c r="D51" s="3"/>
      <c r="E51" s="3">
        <f t="shared" si="12"/>
        <v>6.003695406581954</v>
      </c>
      <c r="F51" s="3">
        <f t="shared" si="12"/>
        <v>2.555401112553255</v>
      </c>
      <c r="G51" s="3">
        <f t="shared" si="12"/>
        <v>1.7025188376529639</v>
      </c>
      <c r="H51" s="3">
        <f t="shared" si="12"/>
        <v>5.830049728663976</v>
      </c>
      <c r="I51" s="3">
        <f t="shared" si="12"/>
        <v>5.486467094974141</v>
      </c>
      <c r="J51" s="3">
        <f t="shared" si="12"/>
        <v>4.489565879298581</v>
      </c>
    </row>
    <row r="52" spans="1:10" ht="12.75">
      <c r="A52" s="2" t="s">
        <v>79</v>
      </c>
      <c r="B52" s="3">
        <f>DEGREES(B50)</f>
        <v>12.454524689271768</v>
      </c>
      <c r="C52" s="3">
        <f aca="true" t="shared" si="13" ref="C52:J52">DEGREES(C50)</f>
        <v>20.766547605013763</v>
      </c>
      <c r="D52" s="3"/>
      <c r="E52" s="3">
        <f t="shared" si="13"/>
        <v>-13.34981306618286</v>
      </c>
      <c r="F52" s="3">
        <f t="shared" si="13"/>
        <v>14.338198849850885</v>
      </c>
      <c r="G52" s="3">
        <f t="shared" si="13"/>
        <v>22.485153945028657</v>
      </c>
      <c r="H52" s="3">
        <f t="shared" si="13"/>
        <v>-11.586535662663247</v>
      </c>
      <c r="I52" s="3">
        <f t="shared" si="13"/>
        <v>-17.22395203531064</v>
      </c>
      <c r="J52" s="3">
        <f t="shared" si="13"/>
        <v>-13.541772000043103</v>
      </c>
    </row>
    <row r="53" spans="1:10" ht="12.75">
      <c r="A53" s="2" t="s">
        <v>78</v>
      </c>
      <c r="B53" s="3">
        <f>DEGREES(B51)/15</f>
        <v>10.09721634671146</v>
      </c>
      <c r="C53" s="3">
        <f aca="true" t="shared" si="14" ref="C53:J53">DEGREES(C51)/15</f>
        <v>8.22570166717184</v>
      </c>
      <c r="D53" s="3"/>
      <c r="E53" s="3">
        <f t="shared" si="14"/>
        <v>22.932427218614986</v>
      </c>
      <c r="F53" s="3">
        <f t="shared" si="14"/>
        <v>9.760913247489103</v>
      </c>
      <c r="G53" s="3">
        <f t="shared" si="14"/>
        <v>6.503142929268894</v>
      </c>
      <c r="H53" s="3">
        <f t="shared" si="14"/>
        <v>22.26914958692244</v>
      </c>
      <c r="I53" s="3">
        <f t="shared" si="14"/>
        <v>20.956760598627977</v>
      </c>
      <c r="J53" s="3">
        <f t="shared" si="14"/>
        <v>17.14887844864994</v>
      </c>
    </row>
  </sheetData>
  <printOptions/>
  <pageMargins left="0.75" right="0.75" top="1" bottom="1" header="0.5" footer="0.5"/>
  <pageSetup horizontalDpi="360" verticalDpi="36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6"/>
  <sheetViews>
    <sheetView workbookViewId="0" topLeftCell="A1">
      <selection activeCell="F5" sqref="F5"/>
    </sheetView>
  </sheetViews>
  <sheetFormatPr defaultColWidth="9.140625" defaultRowHeight="12.75"/>
  <cols>
    <col min="1" max="1" width="21.8515625" style="0" customWidth="1"/>
    <col min="2" max="2" width="12.57421875" style="0" bestFit="1" customWidth="1"/>
    <col min="3" max="4" width="10.57421875" style="0" bestFit="1" customWidth="1"/>
    <col min="5" max="5" width="9.57421875" style="0" bestFit="1" customWidth="1"/>
    <col min="6" max="6" width="11.140625" style="0" bestFit="1" customWidth="1"/>
    <col min="7" max="10" width="10.57421875" style="0" bestFit="1" customWidth="1"/>
  </cols>
  <sheetData>
    <row r="1" ht="18">
      <c r="A1" s="1" t="s">
        <v>2</v>
      </c>
    </row>
    <row r="2" ht="12.75">
      <c r="A2" s="10" t="s">
        <v>247</v>
      </c>
    </row>
    <row r="3" ht="12.75">
      <c r="A3" s="10" t="s">
        <v>252</v>
      </c>
    </row>
    <row r="4" ht="12.75">
      <c r="A4" s="10" t="s">
        <v>254</v>
      </c>
    </row>
    <row r="6" spans="1:4" ht="12.75">
      <c r="A6" s="7" t="s">
        <v>15</v>
      </c>
      <c r="D6" s="7" t="s">
        <v>80</v>
      </c>
    </row>
    <row r="7" spans="1:7" ht="12.75">
      <c r="A7" s="2" t="s">
        <v>11</v>
      </c>
      <c r="B7" s="3">
        <v>0</v>
      </c>
      <c r="D7" s="20"/>
      <c r="E7" s="25" t="s">
        <v>81</v>
      </c>
      <c r="F7" s="23" t="s">
        <v>82</v>
      </c>
      <c r="G7" s="19" t="s">
        <v>83</v>
      </c>
    </row>
    <row r="8" spans="1:7" ht="12.75">
      <c r="A8" s="2" t="s">
        <v>12</v>
      </c>
      <c r="B8" s="3">
        <f>(41+29/60)</f>
        <v>41.483333333333334</v>
      </c>
      <c r="D8" s="21" t="s">
        <v>34</v>
      </c>
      <c r="E8" s="67" t="str">
        <f>CONCATENATE(TEXT(INT(G66),"00"),":",TEXT(INT(60*(G66-INT(G66))),"00"),":",TEXT((G66-INT(G66)-INT(60*(G66-INT(G66)))/60)*3600,"00"))</f>
        <v>04:39:51</v>
      </c>
      <c r="F8" s="68" t="str">
        <f>CONCATENATE(TEXT(INT(ABS(H66)),"00"),":",TEXT(INT(60*(ABS(H66)-INT(ABS(H66)))),"00"),":",TEXT((ABS(H66)-INT(ABS(H66))-INT(60*(ABS(H66)-INT(ABS(H66))))/60)*3600,"00"),IF(H66&lt;0,"s","n"))</f>
        <v>20:52:23n</v>
      </c>
      <c r="G8" s="3">
        <f>E66</f>
        <v>1.141958875763827</v>
      </c>
    </row>
    <row r="9" spans="1:7" ht="12.75">
      <c r="A9" s="2" t="s">
        <v>8</v>
      </c>
      <c r="B9" s="4">
        <v>0</v>
      </c>
      <c r="D9" s="21" t="s">
        <v>35</v>
      </c>
      <c r="E9" s="67" t="str">
        <f>CONCATENATE(TEXT(INT(G67),"00"),":",TEXT(INT(60*(G67-INT(G67))),"00"),":",TEXT((G67-INT(G67)-INT(60*(G67-INT(G67)))/60)*3600,"00"))</f>
        <v>04:42:29</v>
      </c>
      <c r="F9" s="68" t="str">
        <f>CONCATENATE(TEXT(INT(ABS(H67)),"00"),":",TEXT(INT(60*(ABS(H67)-INT(ABS(H67)))),"00"),":",TEXT((ABS(H67)-INT(ABS(H67))-INT(60*(ABS(H67)-INT(ABS(H67))))/60)*3600,"00"),IF(H67&lt;0,"s","n"))</f>
        <v>21:32:12n</v>
      </c>
      <c r="G9" s="3">
        <f>E67</f>
        <v>1.6394514543190724</v>
      </c>
    </row>
    <row r="10" spans="1:7" ht="12.75">
      <c r="A10" s="2" t="s">
        <v>9</v>
      </c>
      <c r="B10" s="4">
        <v>0</v>
      </c>
      <c r="D10" s="21" t="s">
        <v>37</v>
      </c>
      <c r="E10" s="67" t="str">
        <f aca="true" t="shared" si="0" ref="E10:E15">CONCATENATE(TEXT(INT(G69),"00"),":",TEXT(INT(60*(G69-INT(G69))),"00"),":",TEXT((G69-INT(G69)-INT(60*(G69-INT(G69)))/60)*3600,"00"))</f>
        <v>22:18:23</v>
      </c>
      <c r="F10" s="68" t="str">
        <f aca="true" t="shared" si="1" ref="F10:F15">CONCATENATE(TEXT(INT(ABS(H69)),"00"),":",TEXT(INT(60*(ABS(H69)-INT(ABS(H69)))),"00"),":",TEXT((ABS(H69)-INT(ABS(H69))-INT(60*(ABS(H69)-INT(ABS(H69))))/60)*3600,"00"),IF(H69&lt;0,"s","n"))</f>
        <v>14:29:10s</v>
      </c>
      <c r="G10" s="3">
        <f aca="true" t="shared" si="2" ref="G10:G15">E69</f>
        <v>0.6272468081072912</v>
      </c>
    </row>
    <row r="11" spans="1:7" ht="12.75">
      <c r="A11" s="2"/>
      <c r="B11" s="4"/>
      <c r="D11" s="21" t="s">
        <v>38</v>
      </c>
      <c r="E11" s="67" t="str">
        <f t="shared" si="0"/>
        <v>09:14:30</v>
      </c>
      <c r="F11" s="68" t="str">
        <f t="shared" si="1"/>
        <v>16:49:52n</v>
      </c>
      <c r="G11" s="3">
        <f t="shared" si="2"/>
        <v>5.9868714264327565</v>
      </c>
    </row>
    <row r="12" spans="1:7" ht="12.75">
      <c r="A12" s="8" t="s">
        <v>16</v>
      </c>
      <c r="B12" s="3"/>
      <c r="D12" s="21" t="s">
        <v>39</v>
      </c>
      <c r="E12" s="67" t="str">
        <f t="shared" si="0"/>
        <v>06:08:56</v>
      </c>
      <c r="F12" s="68" t="str">
        <f t="shared" si="1"/>
        <v>22:36:56n</v>
      </c>
      <c r="G12" s="3">
        <f t="shared" si="2"/>
        <v>10.04463533880492</v>
      </c>
    </row>
    <row r="13" spans="1:7" ht="12.75">
      <c r="A13" s="2" t="s">
        <v>3</v>
      </c>
      <c r="B13" s="5">
        <v>2003</v>
      </c>
      <c r="D13" s="21" t="s">
        <v>41</v>
      </c>
      <c r="E13" s="67" t="str">
        <f t="shared" si="0"/>
        <v>22:19:60</v>
      </c>
      <c r="F13" s="68" t="str">
        <f t="shared" si="1"/>
        <v>11:12:22s</v>
      </c>
      <c r="G13" s="3">
        <f t="shared" si="2"/>
        <v>19.567088770422508</v>
      </c>
    </row>
    <row r="14" spans="1:7" ht="12.75">
      <c r="A14" s="2" t="s">
        <v>5</v>
      </c>
      <c r="B14" s="6">
        <v>6</v>
      </c>
      <c r="D14" s="21" t="s">
        <v>40</v>
      </c>
      <c r="E14" s="67" t="str">
        <f t="shared" si="0"/>
        <v>21:01:21</v>
      </c>
      <c r="F14" s="68" t="str">
        <f t="shared" si="1"/>
        <v>16:56:21s</v>
      </c>
      <c r="G14" s="3">
        <f t="shared" si="2"/>
        <v>29.34779095470805</v>
      </c>
    </row>
    <row r="15" spans="1:7" ht="12.75">
      <c r="A15" s="2" t="s">
        <v>4</v>
      </c>
      <c r="B15" s="6">
        <v>20</v>
      </c>
      <c r="D15" s="21" t="s">
        <v>42</v>
      </c>
      <c r="E15" s="67" t="str">
        <f t="shared" si="0"/>
        <v>17:12:40</v>
      </c>
      <c r="F15" s="68" t="str">
        <f t="shared" si="1"/>
        <v>13:27:06s</v>
      </c>
      <c r="G15" s="3">
        <f t="shared" si="2"/>
        <v>29.672881535609324</v>
      </c>
    </row>
    <row r="16" spans="1:2" ht="12.75">
      <c r="A16" s="2" t="s">
        <v>6</v>
      </c>
      <c r="B16" s="6">
        <v>0</v>
      </c>
    </row>
    <row r="17" spans="1:5" ht="12.75">
      <c r="A17" s="2" t="s">
        <v>7</v>
      </c>
      <c r="B17" s="6">
        <v>0</v>
      </c>
      <c r="E17" s="3"/>
    </row>
    <row r="18" spans="4:6" ht="12.75">
      <c r="D18" s="34"/>
      <c r="E18" s="69"/>
      <c r="F18" s="34"/>
    </row>
    <row r="19" spans="1:5" ht="12.75">
      <c r="A19" s="7" t="s">
        <v>56</v>
      </c>
      <c r="E19" s="5"/>
    </row>
    <row r="20" spans="1:5" ht="12.75">
      <c r="A20" s="2" t="s">
        <v>13</v>
      </c>
      <c r="B20" s="9">
        <f>367*B13-INT(7*(B13+INT((B14+9)/12))/4)+INT(275*B14/9)+B15+(B16+B17/60)/24-730531.5+(-B9+B10)/24</f>
        <v>1265.5</v>
      </c>
      <c r="E20" s="5"/>
    </row>
    <row r="21" spans="1:2" ht="12.75">
      <c r="A21" s="2" t="s">
        <v>10</v>
      </c>
      <c r="B21" s="9">
        <f>B20/36525</f>
        <v>0.03464750171115674</v>
      </c>
    </row>
    <row r="22" spans="1:2" ht="12.75">
      <c r="A22" s="2" t="s">
        <v>14</v>
      </c>
      <c r="B22" s="9">
        <f>MOD(280.46061837+360.98564736629*B20+B7,360)</f>
        <v>267.7973604099243</v>
      </c>
    </row>
    <row r="23" ht="12.75">
      <c r="E23" s="14"/>
    </row>
    <row r="24" spans="1:6" ht="12.75">
      <c r="A24" s="7" t="s">
        <v>255</v>
      </c>
      <c r="B24" s="2" t="s">
        <v>256</v>
      </c>
      <c r="C24" s="2" t="s">
        <v>257</v>
      </c>
      <c r="D24" s="2" t="s">
        <v>258</v>
      </c>
      <c r="E24" s="2" t="s">
        <v>264</v>
      </c>
      <c r="F24" t="s">
        <v>265</v>
      </c>
    </row>
    <row r="25" spans="1:6" ht="12.75">
      <c r="A25" s="16" t="s">
        <v>253</v>
      </c>
      <c r="B25">
        <v>2003</v>
      </c>
      <c r="C25">
        <v>7</v>
      </c>
      <c r="D25">
        <v>30</v>
      </c>
      <c r="E25">
        <f>367*B25-INT(7*(B25+INT((C25+9)/12))/4)+INT(275*C25/9)+D25-730531.5</f>
        <v>1305.5</v>
      </c>
      <c r="F25" s="12">
        <f>B20-E25</f>
        <v>-40</v>
      </c>
    </row>
    <row r="26" ht="12.75">
      <c r="A26" s="7"/>
    </row>
    <row r="27" spans="1:8" ht="12.75">
      <c r="A27" s="61" t="s">
        <v>259</v>
      </c>
      <c r="B27" s="19" t="s">
        <v>49</v>
      </c>
      <c r="C27" s="19" t="s">
        <v>260</v>
      </c>
      <c r="D27" s="19" t="s">
        <v>261</v>
      </c>
      <c r="E27" s="19" t="s">
        <v>43</v>
      </c>
      <c r="F27" s="19" t="s">
        <v>262</v>
      </c>
      <c r="G27" s="19" t="s">
        <v>44</v>
      </c>
      <c r="H27" s="19" t="s">
        <v>263</v>
      </c>
    </row>
    <row r="28" spans="1:8" ht="12.75">
      <c r="A28" s="62" t="s">
        <v>34</v>
      </c>
      <c r="B28" s="58">
        <v>7.00502</v>
      </c>
      <c r="C28" s="58">
        <v>48.37336</v>
      </c>
      <c r="D28" s="58">
        <v>77.51167</v>
      </c>
      <c r="E28" s="59">
        <v>0.387097</v>
      </c>
      <c r="F28" s="60">
        <v>4.0923671</v>
      </c>
      <c r="G28" s="60">
        <v>0.2056369</v>
      </c>
      <c r="H28" s="58">
        <v>117.33903</v>
      </c>
    </row>
    <row r="29" spans="1:8" ht="12.75">
      <c r="A29" s="62" t="s">
        <v>35</v>
      </c>
      <c r="B29" s="58">
        <v>3.39472</v>
      </c>
      <c r="C29" s="58">
        <v>76.71161</v>
      </c>
      <c r="D29" s="58">
        <v>131.60374</v>
      </c>
      <c r="E29" s="59">
        <v>0.723331</v>
      </c>
      <c r="F29" s="60">
        <v>1.6021334</v>
      </c>
      <c r="G29" s="60">
        <v>0.0067367</v>
      </c>
      <c r="H29" s="58">
        <v>342.0067</v>
      </c>
    </row>
    <row r="30" spans="1:8" ht="12.75">
      <c r="A30" s="21" t="s">
        <v>36</v>
      </c>
      <c r="B30" s="58">
        <v>7E-05</v>
      </c>
      <c r="C30" s="58">
        <v>243.36859</v>
      </c>
      <c r="D30" s="58">
        <v>102.9925</v>
      </c>
      <c r="E30" s="59">
        <v>1</v>
      </c>
      <c r="F30" s="60">
        <v>0.9856096</v>
      </c>
      <c r="G30" s="60">
        <v>0.0167123</v>
      </c>
      <c r="H30" s="58">
        <v>204.23538</v>
      </c>
    </row>
    <row r="31" spans="1:8" ht="12.75">
      <c r="A31" s="21" t="s">
        <v>37</v>
      </c>
      <c r="B31" s="58">
        <v>1.84957</v>
      </c>
      <c r="C31" s="58">
        <v>49.58266</v>
      </c>
      <c r="D31" s="58">
        <v>336.10284</v>
      </c>
      <c r="E31" s="59">
        <v>1.523701</v>
      </c>
      <c r="F31" s="60">
        <v>0.5240279</v>
      </c>
      <c r="G31" s="60">
        <v>0.0935572</v>
      </c>
      <c r="H31" s="58">
        <v>343.51593</v>
      </c>
    </row>
    <row r="32" spans="1:8" ht="12.75">
      <c r="A32" s="21" t="s">
        <v>38</v>
      </c>
      <c r="B32" s="58">
        <v>1.30364</v>
      </c>
      <c r="C32" s="58">
        <v>100.54118</v>
      </c>
      <c r="D32" s="58">
        <v>14.88558</v>
      </c>
      <c r="E32" s="59">
        <v>5.202056</v>
      </c>
      <c r="F32" s="60">
        <v>0.0831091</v>
      </c>
      <c r="G32" s="60">
        <v>0.0489507</v>
      </c>
      <c r="H32" s="58">
        <v>127.96583</v>
      </c>
    </row>
    <row r="33" spans="1:8" ht="12.75">
      <c r="A33" s="21" t="s">
        <v>39</v>
      </c>
      <c r="B33" s="58">
        <v>2.48551</v>
      </c>
      <c r="C33" s="58">
        <v>113.66668</v>
      </c>
      <c r="D33" s="58">
        <v>93.84391</v>
      </c>
      <c r="E33" s="59">
        <v>9.581041</v>
      </c>
      <c r="F33" s="60">
        <v>0.0332389</v>
      </c>
      <c r="G33" s="60">
        <v>0.0574197</v>
      </c>
      <c r="H33" s="58">
        <v>0.10457</v>
      </c>
    </row>
    <row r="34" spans="1:8" ht="12.75">
      <c r="A34" s="21" t="s">
        <v>41</v>
      </c>
      <c r="B34" s="58">
        <v>0.77187</v>
      </c>
      <c r="C34" s="58">
        <v>73.86906</v>
      </c>
      <c r="D34" s="58">
        <v>169.43754</v>
      </c>
      <c r="E34" s="59">
        <v>19.130024</v>
      </c>
      <c r="F34" s="60">
        <v>0.0117799</v>
      </c>
      <c r="G34" s="60">
        <v>0.0499317</v>
      </c>
      <c r="H34" s="58">
        <v>159.211</v>
      </c>
    </row>
    <row r="35" spans="1:8" ht="12.75">
      <c r="A35" s="21" t="s">
        <v>40</v>
      </c>
      <c r="B35" s="58">
        <v>1.77101</v>
      </c>
      <c r="C35" s="58">
        <v>131.82616</v>
      </c>
      <c r="D35" s="58">
        <v>69.44961</v>
      </c>
      <c r="E35" s="59">
        <v>29.947586</v>
      </c>
      <c r="F35" s="60">
        <v>0.0060141</v>
      </c>
      <c r="G35" s="60">
        <v>0.0095951</v>
      </c>
      <c r="H35" s="58">
        <v>243.28084</v>
      </c>
    </row>
    <row r="36" spans="1:8" ht="12.75">
      <c r="A36" s="21" t="s">
        <v>42</v>
      </c>
      <c r="B36" s="58">
        <v>17.16704</v>
      </c>
      <c r="C36" s="58">
        <v>110.28895</v>
      </c>
      <c r="D36" s="58">
        <v>223.5414</v>
      </c>
      <c r="E36" s="59">
        <v>39.446486</v>
      </c>
      <c r="F36" s="60">
        <v>0.0039782</v>
      </c>
      <c r="G36" s="60">
        <v>0.2491465</v>
      </c>
      <c r="H36" s="58">
        <v>20.38981</v>
      </c>
    </row>
    <row r="37" spans="1:8" ht="12.75">
      <c r="A37" s="47"/>
      <c r="B37" s="58"/>
      <c r="C37" s="58"/>
      <c r="D37" s="58"/>
      <c r="E37" s="59"/>
      <c r="F37" s="60"/>
      <c r="G37" s="60"/>
      <c r="H37" s="58"/>
    </row>
    <row r="38" spans="1:8" ht="12.75">
      <c r="A38" s="45" t="s">
        <v>268</v>
      </c>
      <c r="B38" s="58"/>
      <c r="C38" s="58"/>
      <c r="D38" s="58"/>
      <c r="E38" s="59"/>
      <c r="F38" s="60"/>
      <c r="G38" s="60"/>
      <c r="H38" s="58"/>
    </row>
    <row r="39" spans="1:10" ht="12.75">
      <c r="A39" s="63"/>
      <c r="B39" s="64" t="s">
        <v>275</v>
      </c>
      <c r="C39" s="64" t="s">
        <v>267</v>
      </c>
      <c r="D39" s="64" t="s">
        <v>266</v>
      </c>
      <c r="E39" s="64" t="s">
        <v>32</v>
      </c>
      <c r="F39" s="64" t="s">
        <v>31</v>
      </c>
      <c r="G39" s="64" t="s">
        <v>182</v>
      </c>
      <c r="H39" s="3"/>
      <c r="I39" s="3"/>
      <c r="J39" s="3"/>
    </row>
    <row r="40" spans="1:10" ht="12.75">
      <c r="A40" s="62" t="s">
        <v>34</v>
      </c>
      <c r="B40" s="3">
        <f>MOD(H28+$F$25*F28,360)</f>
        <v>313.644346</v>
      </c>
      <c r="C40" s="3">
        <f>DEGREES(RADIANS(B40)+(2*G28-0.25*G28^3+5/96*G28^5)*SIN(RADIANS(B40))+(1.25*G28^2-11/24*G28^4)*SIN(2*RADIANS(B40))+(13/12*G28^3-43/64*G28^5)*SIN(3*RADIANS(B40))+103/96*G28^4*SIN(4*RADIANS(B40))+1097/960*G28^5*SIN(5*RADIANS(B40)))</f>
        <v>293.38839313718813</v>
      </c>
      <c r="D40" s="3">
        <f>E28*(1-G28^2)/(1+G28*COS(RADIANS(C40)))</f>
        <v>0.3427493687245373</v>
      </c>
      <c r="E40" s="3">
        <f>D40*(COS(RADIANS(C40+D28-C28))*COS(RADIANS(C28))-SIN(RADIANS(C40+D28-C28))*COS(RADIANS(B28))*SIN(RADIANS(C28)))</f>
        <v>0.33540215495003406</v>
      </c>
      <c r="F40" s="3">
        <f>D40*(COS(RADIANS(C40+D28-C28))*SIN(RADIANS(C28))+SIN(RADIANS(C40+D28-C28))*COS(RADIANS(B28))*COS(RADIANS(C28)))</f>
        <v>0.06584668827734534</v>
      </c>
      <c r="G40" s="3">
        <f>D40*SIN(RADIANS(C40+D28-C28))*SIN(RADIANS(B28))</f>
        <v>-0.025431041245852694</v>
      </c>
      <c r="H40" s="3"/>
      <c r="I40" s="3"/>
      <c r="J40" s="3"/>
    </row>
    <row r="41" spans="1:10" ht="12.75">
      <c r="A41" s="62" t="s">
        <v>35</v>
      </c>
      <c r="B41" s="3">
        <f aca="true" t="shared" si="3" ref="B41:B48">MOD(H29+$F$25*F29,360)</f>
        <v>277.92136400000004</v>
      </c>
      <c r="C41" s="3">
        <f aca="true" t="shared" si="4" ref="C41:C48">DEGREES(RADIANS(B41)+(2*G29-0.25*G29^3+5/96*G29^5)*SIN(RADIANS(B41))+(1.25*G29^2-11/24*G29^4)*SIN(2*RADIANS(B41))+(13/12*G29^3-43/64*G29^5)*SIN(3*RADIANS(B41))+103/96*G29^4*SIN(4*RADIANS(B41))+1097/960*G29^5*SIN(5*RADIANS(B41)))</f>
        <v>277.1558955135912</v>
      </c>
      <c r="D41" s="3">
        <f aca="true" t="shared" si="5" ref="D41:D48">E29*(1-G29^2)/(1+G29*COS(RADIANS(C41)))</f>
        <v>0.7226916992554329</v>
      </c>
      <c r="E41" s="3">
        <f aca="true" t="shared" si="6" ref="E41:E48">D41*(COS(RADIANS(C41+D29-C29))*COS(RADIANS(C29))-SIN(RADIANS(C41+D29-C29))*COS(RADIANS(B29))*SIN(RADIANS(C29)))</f>
        <v>0.47583387476797956</v>
      </c>
      <c r="F41" s="3">
        <f aca="true" t="shared" si="7" ref="F41:F48">D41*(COS(RADIANS(C41+D29-C29))*SIN(RADIANS(C29))+SIN(RADIANS(C41+D29-C29))*COS(RADIANS(B29))*COS(RADIANS(C29)))</f>
        <v>0.5435651402241587</v>
      </c>
      <c r="G41" s="3">
        <f aca="true" t="shared" si="8" ref="G41:G48">D41*SIN(RADIANS(C41+D29-C29))*SIN(RADIANS(B29))</f>
        <v>-0.020058766888483612</v>
      </c>
      <c r="H41" s="3"/>
      <c r="I41" s="3"/>
      <c r="J41" s="3"/>
    </row>
    <row r="42" spans="1:10" ht="12.75">
      <c r="A42" s="21" t="s">
        <v>36</v>
      </c>
      <c r="B42" s="3">
        <f t="shared" si="3"/>
        <v>164.810996</v>
      </c>
      <c r="C42" s="3">
        <f>DEGREES(RADIANS(B42)+(2*G30-0.25*G30^3+5/96*G30^5)*SIN(RADIANS(B42))+(1.25*G30^2-11/24*G30^4)*SIN(2*RADIANS(B42))+(13/12*G30^3-43/64*G30^5)*SIN(3*RADIANS(B42))+103/96*G30^4*SIN(4*RADIANS(B42))+1097/960*G30^5*SIN(5*RADIANS(B42)))</f>
        <v>165.30282726247378</v>
      </c>
      <c r="D42" s="3">
        <f t="shared" si="5"/>
        <v>1.0161472044196862</v>
      </c>
      <c r="E42" s="3">
        <f>D42*(COS(RADIANS(C42+D30-C30))*COS(RADIANS(C30))-SIN(RADIANS(C42+D30-C30))*COS(RADIANS(B30))*SIN(RADIANS(C30)))</f>
        <v>-0.03022810595219183</v>
      </c>
      <c r="F42" s="3">
        <f>D42*(COS(RADIANS(C42+D30-C30))*SIN(RADIANS(C30))+SIN(RADIANS(C42+D30-C30))*COS(RADIANS(B30))*COS(RADIANS(C30)))</f>
        <v>-1.0156974956453386</v>
      </c>
      <c r="G42" s="3">
        <f t="shared" si="8"/>
        <v>5.2322370348792E-07</v>
      </c>
      <c r="H42" s="3"/>
      <c r="I42" s="3"/>
      <c r="J42" s="3"/>
    </row>
    <row r="43" spans="1:10" ht="12.75">
      <c r="A43" s="21" t="s">
        <v>37</v>
      </c>
      <c r="B43" s="3">
        <f t="shared" si="3"/>
        <v>322.554814</v>
      </c>
      <c r="C43" s="3">
        <f t="shared" si="4"/>
        <v>315.391281856153</v>
      </c>
      <c r="D43" s="3">
        <f t="shared" si="5"/>
        <v>1.4160480080803466</v>
      </c>
      <c r="E43" s="3">
        <f t="shared" si="6"/>
        <v>0.5183526384443756</v>
      </c>
      <c r="F43" s="3">
        <f t="shared" si="7"/>
        <v>-1.3171471991283932</v>
      </c>
      <c r="G43" s="3">
        <f t="shared" si="8"/>
        <v>-0.04032070478427352</v>
      </c>
      <c r="H43" s="3"/>
      <c r="I43" s="3"/>
      <c r="J43" s="3"/>
    </row>
    <row r="44" spans="1:10" ht="12.75">
      <c r="A44" s="21" t="s">
        <v>38</v>
      </c>
      <c r="B44" s="3">
        <f t="shared" si="3"/>
        <v>124.641466</v>
      </c>
      <c r="C44" s="3">
        <f t="shared" si="4"/>
        <v>129.09661664835775</v>
      </c>
      <c r="D44" s="3">
        <f t="shared" si="5"/>
        <v>5.354895422243133</v>
      </c>
      <c r="E44" s="3">
        <f t="shared" si="6"/>
        <v>-4.330286208042469</v>
      </c>
      <c r="F44" s="3">
        <f t="shared" si="7"/>
        <v>3.149048889119912</v>
      </c>
      <c r="G44" s="3">
        <f t="shared" si="8"/>
        <v>0.0837701231364215</v>
      </c>
      <c r="H44" s="3"/>
      <c r="I44" s="3"/>
      <c r="J44" s="3"/>
    </row>
    <row r="45" spans="1:10" ht="12.75">
      <c r="A45" s="21" t="s">
        <v>39</v>
      </c>
      <c r="B45" s="3">
        <f t="shared" si="3"/>
        <v>358.775014</v>
      </c>
      <c r="C45" s="3">
        <f t="shared" si="4"/>
        <v>358.6235111777319</v>
      </c>
      <c r="D45" s="3">
        <f t="shared" si="5"/>
        <v>9.03104201448564</v>
      </c>
      <c r="E45" s="3">
        <f t="shared" si="6"/>
        <v>-0.39161216639006735</v>
      </c>
      <c r="F45" s="3">
        <f t="shared" si="7"/>
        <v>9.021435712698699</v>
      </c>
      <c r="G45" s="3">
        <f t="shared" si="8"/>
        <v>-0.1416243629630025</v>
      </c>
      <c r="H45" s="3"/>
      <c r="I45" s="3"/>
      <c r="J45" s="3"/>
    </row>
    <row r="46" spans="1:10" ht="12.75">
      <c r="A46" s="21" t="s">
        <v>41</v>
      </c>
      <c r="B46" s="3">
        <f t="shared" si="3"/>
        <v>158.73980400000002</v>
      </c>
      <c r="C46" s="3">
        <f t="shared" si="4"/>
        <v>160.69987689878116</v>
      </c>
      <c r="D46" s="3">
        <f t="shared" si="5"/>
        <v>20.02606903687242</v>
      </c>
      <c r="E46" s="3">
        <f t="shared" si="6"/>
        <v>17.365353895894536</v>
      </c>
      <c r="F46" s="3">
        <f t="shared" si="7"/>
        <v>-9.970920051018354</v>
      </c>
      <c r="G46" s="3">
        <f t="shared" si="8"/>
        <v>-0.262065785864709</v>
      </c>
      <c r="H46" s="3"/>
      <c r="I46" s="3"/>
      <c r="J46" s="3"/>
    </row>
    <row r="47" spans="1:10" ht="12.75">
      <c r="A47" s="21" t="s">
        <v>40</v>
      </c>
      <c r="B47" s="3">
        <f t="shared" si="3"/>
        <v>243.040276</v>
      </c>
      <c r="C47" s="3">
        <f t="shared" si="4"/>
        <v>242.06559640225893</v>
      </c>
      <c r="D47" s="3">
        <f t="shared" si="5"/>
        <v>30.080036333790442</v>
      </c>
      <c r="E47" s="3">
        <f t="shared" si="6"/>
        <v>19.937671666768676</v>
      </c>
      <c r="F47" s="3">
        <f t="shared" si="7"/>
        <v>-22.523272606267458</v>
      </c>
      <c r="G47" s="3">
        <f t="shared" si="8"/>
        <v>0.005045200161315989</v>
      </c>
      <c r="H47" s="3"/>
      <c r="I47" s="3"/>
      <c r="J47" s="3"/>
    </row>
    <row r="48" spans="1:10" ht="12.75">
      <c r="A48" s="21" t="s">
        <v>42</v>
      </c>
      <c r="B48" s="3">
        <f t="shared" si="3"/>
        <v>20.230682</v>
      </c>
      <c r="C48" s="3">
        <f t="shared" si="4"/>
        <v>33.947451628445314</v>
      </c>
      <c r="D48" s="3">
        <f t="shared" si="5"/>
        <v>30.66090514001751</v>
      </c>
      <c r="E48" s="3">
        <f t="shared" si="6"/>
        <v>-5.947997094195718</v>
      </c>
      <c r="F48" s="3">
        <f t="shared" si="7"/>
        <v>-29.676238385711873</v>
      </c>
      <c r="G48" s="3">
        <f t="shared" si="8"/>
        <v>4.9023779787968875</v>
      </c>
      <c r="H48" s="3"/>
      <c r="I48" s="3"/>
      <c r="J48" s="3"/>
    </row>
    <row r="49" spans="1:10" ht="12.75">
      <c r="A49" s="2"/>
      <c r="B49" s="3"/>
      <c r="C49" s="3"/>
      <c r="D49" s="3"/>
      <c r="E49" s="3"/>
      <c r="F49" s="3"/>
      <c r="G49" s="3"/>
      <c r="H49" s="3"/>
      <c r="I49" s="3"/>
      <c r="J49" s="3"/>
    </row>
    <row r="50" spans="1:10" ht="12.75">
      <c r="A50" s="65" t="s">
        <v>269</v>
      </c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2"/>
      <c r="B51" s="3"/>
      <c r="C51" s="3"/>
      <c r="D51" s="3"/>
      <c r="E51" s="3"/>
      <c r="F51" s="3"/>
      <c r="G51" s="3"/>
      <c r="H51" s="3"/>
      <c r="I51" s="3"/>
      <c r="J51" s="3"/>
    </row>
    <row r="52" spans="1:10" ht="12.75">
      <c r="A52" s="20"/>
      <c r="B52" s="19" t="s">
        <v>32</v>
      </c>
      <c r="C52" s="64" t="s">
        <v>31</v>
      </c>
      <c r="D52" s="64" t="s">
        <v>182</v>
      </c>
      <c r="E52" s="66"/>
      <c r="F52" s="3"/>
      <c r="G52" s="3"/>
      <c r="H52" s="3"/>
      <c r="I52" s="3"/>
      <c r="J52" s="3"/>
    </row>
    <row r="53" spans="1:10" ht="12.75">
      <c r="A53" s="62" t="s">
        <v>34</v>
      </c>
      <c r="B53" s="3">
        <f>E40-E$42</f>
        <v>0.3656302609022259</v>
      </c>
      <c r="C53" s="3">
        <f>F40-F$42</f>
        <v>1.081544183922684</v>
      </c>
      <c r="D53" s="3">
        <f>G40-G$42</f>
        <v>-0.025431564469556182</v>
      </c>
      <c r="E53" s="18"/>
      <c r="F53" s="3"/>
      <c r="G53" s="3"/>
      <c r="H53" s="3"/>
      <c r="I53" s="3"/>
      <c r="J53" s="3"/>
    </row>
    <row r="54" spans="1:10" ht="12.75">
      <c r="A54" s="62" t="s">
        <v>35</v>
      </c>
      <c r="B54" s="3">
        <f aca="true" t="shared" si="9" ref="B54:B61">E41-E$42</f>
        <v>0.5060619807201714</v>
      </c>
      <c r="C54" s="3">
        <f aca="true" t="shared" si="10" ref="C54:C61">F41-F$42</f>
        <v>1.5592626358694974</v>
      </c>
      <c r="D54" s="3">
        <f aca="true" t="shared" si="11" ref="D54:D61">G41-G$42</f>
        <v>-0.0200592901121871</v>
      </c>
      <c r="E54" s="3"/>
      <c r="F54" s="3"/>
      <c r="G54" s="3"/>
      <c r="H54" s="3"/>
      <c r="I54" s="3"/>
      <c r="J54" s="3"/>
    </row>
    <row r="55" spans="1:10" ht="12.75">
      <c r="A55" s="21" t="s">
        <v>36</v>
      </c>
      <c r="B55" s="3">
        <f t="shared" si="9"/>
        <v>0</v>
      </c>
      <c r="C55" s="3">
        <f t="shared" si="10"/>
        <v>0</v>
      </c>
      <c r="D55" s="3">
        <f t="shared" si="11"/>
        <v>0</v>
      </c>
      <c r="E55" s="3"/>
      <c r="F55" s="3"/>
      <c r="G55" s="3"/>
      <c r="H55" s="3"/>
      <c r="I55" s="3"/>
      <c r="J55" s="3"/>
    </row>
    <row r="56" spans="1:10" ht="12.75">
      <c r="A56" s="21" t="s">
        <v>37</v>
      </c>
      <c r="B56" s="3">
        <f t="shared" si="9"/>
        <v>0.5485807443965675</v>
      </c>
      <c r="C56" s="3">
        <f t="shared" si="10"/>
        <v>-0.30144970348305455</v>
      </c>
      <c r="D56" s="3">
        <f t="shared" si="11"/>
        <v>-0.04032122800797701</v>
      </c>
      <c r="E56" s="3"/>
      <c r="F56" s="3"/>
      <c r="G56" s="3"/>
      <c r="H56" s="3"/>
      <c r="I56" s="3"/>
      <c r="J56" s="3"/>
    </row>
    <row r="57" spans="1:10" ht="12.75">
      <c r="A57" s="21" t="s">
        <v>38</v>
      </c>
      <c r="B57" s="3">
        <f t="shared" si="9"/>
        <v>-4.300058102090277</v>
      </c>
      <c r="C57" s="3">
        <f t="shared" si="10"/>
        <v>4.164746384765251</v>
      </c>
      <c r="D57" s="3">
        <f t="shared" si="11"/>
        <v>0.08376959991271801</v>
      </c>
      <c r="E57" s="3"/>
      <c r="F57" s="3"/>
      <c r="G57" s="3"/>
      <c r="H57" s="3"/>
      <c r="I57" s="3"/>
      <c r="J57" s="3"/>
    </row>
    <row r="58" spans="1:10" ht="12.75">
      <c r="A58" s="21" t="s">
        <v>39</v>
      </c>
      <c r="B58" s="3">
        <f t="shared" si="9"/>
        <v>-0.3613840604378755</v>
      </c>
      <c r="C58" s="3">
        <f t="shared" si="10"/>
        <v>10.037133208344038</v>
      </c>
      <c r="D58" s="3">
        <f t="shared" si="11"/>
        <v>-0.14162488618670596</v>
      </c>
      <c r="E58" s="3"/>
      <c r="F58" s="3"/>
      <c r="G58" s="3"/>
      <c r="H58" s="3"/>
      <c r="I58" s="3"/>
      <c r="J58" s="3"/>
    </row>
    <row r="59" spans="1:10" ht="12.75">
      <c r="A59" s="21" t="s">
        <v>41</v>
      </c>
      <c r="B59" s="3">
        <f t="shared" si="9"/>
        <v>17.395582001846726</v>
      </c>
      <c r="C59" s="3">
        <f t="shared" si="10"/>
        <v>-8.955222555373014</v>
      </c>
      <c r="D59" s="3">
        <f t="shared" si="11"/>
        <v>-0.2620663090884125</v>
      </c>
      <c r="E59" s="3"/>
      <c r="F59" s="3"/>
      <c r="G59" s="3"/>
      <c r="H59" s="3"/>
      <c r="I59" s="3"/>
      <c r="J59" s="3"/>
    </row>
    <row r="60" spans="1:10" ht="12.75">
      <c r="A60" s="21" t="s">
        <v>40</v>
      </c>
      <c r="B60" s="3">
        <f t="shared" si="9"/>
        <v>19.967899772720866</v>
      </c>
      <c r="C60" s="3">
        <f t="shared" si="10"/>
        <v>-21.50757511062212</v>
      </c>
      <c r="D60" s="3">
        <f t="shared" si="11"/>
        <v>0.005044676937612501</v>
      </c>
      <c r="E60" s="3"/>
      <c r="F60" s="3"/>
      <c r="G60" s="3"/>
      <c r="H60" s="3"/>
      <c r="I60" s="3"/>
      <c r="J60" s="3"/>
    </row>
    <row r="61" spans="1:10" ht="12.75">
      <c r="A61" s="21" t="s">
        <v>42</v>
      </c>
      <c r="B61" s="3">
        <f t="shared" si="9"/>
        <v>-5.917768988243526</v>
      </c>
      <c r="C61" s="3">
        <f t="shared" si="10"/>
        <v>-28.660540890066535</v>
      </c>
      <c r="D61" s="3">
        <f t="shared" si="11"/>
        <v>4.902377455573184</v>
      </c>
      <c r="E61" s="3"/>
      <c r="F61" s="3"/>
      <c r="G61" s="3"/>
      <c r="H61" s="3"/>
      <c r="I61" s="3"/>
      <c r="J61" s="3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3"/>
    </row>
    <row r="63" ht="12.75">
      <c r="A63" s="7" t="s">
        <v>277</v>
      </c>
    </row>
    <row r="65" spans="1:8" ht="12.75">
      <c r="A65" s="20"/>
      <c r="B65" s="19" t="s">
        <v>270</v>
      </c>
      <c r="C65" s="64" t="s">
        <v>271</v>
      </c>
      <c r="D65" s="64" t="s">
        <v>272</v>
      </c>
      <c r="E65" s="64" t="s">
        <v>266</v>
      </c>
      <c r="F65" s="19" t="s">
        <v>273</v>
      </c>
      <c r="G65" s="19" t="s">
        <v>276</v>
      </c>
      <c r="H65" s="19" t="s">
        <v>274</v>
      </c>
    </row>
    <row r="66" spans="1:8" ht="12.75">
      <c r="A66" s="62" t="s">
        <v>34</v>
      </c>
      <c r="B66" s="3">
        <f>B53</f>
        <v>0.3656302609022259</v>
      </c>
      <c r="C66" s="3">
        <f>C53*COS(RADIANS(23.439292))-D53*SIN(RADIANS(23.439292))</f>
        <v>1.0024134771575532</v>
      </c>
      <c r="D66" s="3">
        <f>C53*SIN(RADIANS(23.439292))+D53*COS(RADIANS(23.439292))</f>
        <v>0.40688058083577466</v>
      </c>
      <c r="E66" s="18">
        <f>SQRT(B66*B66+C66*C66+D66*D66)</f>
        <v>1.141958875763827</v>
      </c>
      <c r="F66" s="3">
        <f>IF(B66&lt;0,MOD(180+DEGREES(ATAN(C66/B66)),360),IF(C66&lt;0,MOD(360+DEGREES(ATAN(C66/B66)),360),MOD(DEGREES(ATAN(C66/B66)),360)))</f>
        <v>69.96056162375513</v>
      </c>
      <c r="G66" s="17">
        <f>F66/15</f>
        <v>4.664037441583675</v>
      </c>
      <c r="H66" s="3">
        <f>DEGREES(ATAN(D66/SQRT(B66*B66+C66*C66)))</f>
        <v>20.873173439161842</v>
      </c>
    </row>
    <row r="67" spans="1:8" ht="12.75">
      <c r="A67" s="62" t="s">
        <v>35</v>
      </c>
      <c r="B67" s="3">
        <f aca="true" t="shared" si="12" ref="B67:B74">B54</f>
        <v>0.5060619807201714</v>
      </c>
      <c r="C67" s="3">
        <f aca="true" t="shared" si="13" ref="C67:C74">C54*COS(RADIANS(23.439292))-D54*SIN(RADIANS(23.439292))</f>
        <v>1.438574616498922</v>
      </c>
      <c r="D67" s="3">
        <f aca="true" t="shared" si="14" ref="D67:D74">C54*SIN(RADIANS(23.439292))+D54*COS(RADIANS(23.439292))</f>
        <v>0.6018350401093955</v>
      </c>
      <c r="E67" s="18">
        <f aca="true" t="shared" si="15" ref="E67:E74">SQRT(B67*B67+C67*C67+D67*D67)</f>
        <v>1.6394514543190724</v>
      </c>
      <c r="F67" s="3">
        <f aca="true" t="shared" si="16" ref="F67:F74">IF(B67&lt;0,MOD(180+DEGREES(ATAN(C67/B67)),360),IF(C67&lt;0,MOD(360+DEGREES(ATAN(C67/B67)),360),MOD(DEGREES(ATAN(C67/B67)),360)))</f>
        <v>70.6191405323507</v>
      </c>
      <c r="G67" s="17">
        <f aca="true" t="shared" si="17" ref="G67:G74">F67/15</f>
        <v>4.707942702156713</v>
      </c>
      <c r="H67" s="3">
        <f>DEGREES(ATAN(D67/SQRT(B67*B67+C67*C67)))</f>
        <v>21.536592444308706</v>
      </c>
    </row>
    <row r="68" spans="2:8" ht="12.75">
      <c r="B68" s="3"/>
      <c r="C68" s="3"/>
      <c r="D68" s="3"/>
      <c r="E68" s="18"/>
      <c r="F68" s="3"/>
      <c r="G68" s="17"/>
      <c r="H68" s="3"/>
    </row>
    <row r="69" spans="1:8" ht="12.75">
      <c r="A69" s="21" t="s">
        <v>37</v>
      </c>
      <c r="B69" s="3">
        <f t="shared" si="12"/>
        <v>0.5485807443965675</v>
      </c>
      <c r="C69" s="3">
        <f t="shared" si="13"/>
        <v>-0.26053582972686934</v>
      </c>
      <c r="D69" s="3">
        <f t="shared" si="14"/>
        <v>-0.15690381316789126</v>
      </c>
      <c r="E69" s="18">
        <f t="shared" si="15"/>
        <v>0.6272468081072912</v>
      </c>
      <c r="F69" s="3">
        <f t="shared" si="16"/>
        <v>334.59569268692303</v>
      </c>
      <c r="G69" s="17">
        <f t="shared" si="17"/>
        <v>22.306379512461536</v>
      </c>
      <c r="H69" s="3">
        <f aca="true" t="shared" si="18" ref="H69:H74">DEGREES(ATAN(D69/SQRT(B69*B69+C69*C69)))</f>
        <v>-14.486202174435107</v>
      </c>
    </row>
    <row r="70" spans="1:8" ht="12.75">
      <c r="A70" s="21" t="s">
        <v>38</v>
      </c>
      <c r="B70" s="3">
        <f t="shared" si="12"/>
        <v>-4.300058102090277</v>
      </c>
      <c r="C70" s="3">
        <f t="shared" si="13"/>
        <v>3.787758440989202</v>
      </c>
      <c r="D70" s="3">
        <f t="shared" si="14"/>
        <v>1.7334981361396997</v>
      </c>
      <c r="E70" s="18">
        <f t="shared" si="15"/>
        <v>5.9868714264327565</v>
      </c>
      <c r="F70" s="3">
        <f t="shared" si="16"/>
        <v>138.6243955406882</v>
      </c>
      <c r="G70" s="17">
        <f t="shared" si="17"/>
        <v>9.241626369379214</v>
      </c>
      <c r="H70" s="3">
        <f t="shared" si="18"/>
        <v>16.831012248392287</v>
      </c>
    </row>
    <row r="71" spans="1:8" ht="12.75">
      <c r="A71" s="21" t="s">
        <v>39</v>
      </c>
      <c r="B71" s="3">
        <f t="shared" si="12"/>
        <v>-0.3613840604378755</v>
      </c>
      <c r="C71" s="3">
        <f t="shared" si="13"/>
        <v>9.265224757766493</v>
      </c>
      <c r="D71" s="3">
        <f t="shared" si="14"/>
        <v>3.8626041524470107</v>
      </c>
      <c r="E71" s="18">
        <f t="shared" si="15"/>
        <v>10.04463533880492</v>
      </c>
      <c r="F71" s="3">
        <f t="shared" si="16"/>
        <v>92.23365232781872</v>
      </c>
      <c r="G71" s="17">
        <f t="shared" si="17"/>
        <v>6.148910155187915</v>
      </c>
      <c r="H71" s="3">
        <f t="shared" si="18"/>
        <v>22.61543353233721</v>
      </c>
    </row>
    <row r="72" spans="1:8" ht="12.75">
      <c r="A72" s="21" t="s">
        <v>41</v>
      </c>
      <c r="B72" s="3">
        <f t="shared" si="12"/>
        <v>17.395582001846726</v>
      </c>
      <c r="C72" s="3">
        <f t="shared" si="13"/>
        <v>-8.112012006303264</v>
      </c>
      <c r="D72" s="3">
        <f t="shared" si="14"/>
        <v>-3.8026242223249596</v>
      </c>
      <c r="E72" s="18">
        <f t="shared" si="15"/>
        <v>19.567088770422508</v>
      </c>
      <c r="F72" s="3">
        <f t="shared" si="16"/>
        <v>334.99913724472685</v>
      </c>
      <c r="G72" s="17">
        <f t="shared" si="17"/>
        <v>22.333275816315123</v>
      </c>
      <c r="H72" s="3">
        <f t="shared" si="18"/>
        <v>-11.206040041535756</v>
      </c>
    </row>
    <row r="73" spans="1:8" ht="12.75">
      <c r="A73" s="21" t="s">
        <v>40</v>
      </c>
      <c r="B73" s="3">
        <f t="shared" si="12"/>
        <v>19.967899772720866</v>
      </c>
      <c r="C73" s="3">
        <f t="shared" si="13"/>
        <v>-19.734820887191997</v>
      </c>
      <c r="D73" s="3">
        <f t="shared" si="14"/>
        <v>-8.550593964062845</v>
      </c>
      <c r="E73" s="18">
        <f t="shared" si="15"/>
        <v>29.34779095470805</v>
      </c>
      <c r="F73" s="3">
        <f t="shared" si="16"/>
        <v>315.33635687428927</v>
      </c>
      <c r="G73" s="17">
        <f t="shared" si="17"/>
        <v>21.022423791619286</v>
      </c>
      <c r="H73" s="3">
        <f t="shared" si="18"/>
        <v>-16.93903068607285</v>
      </c>
    </row>
    <row r="74" spans="1:8" ht="12.75">
      <c r="A74" s="21" t="s">
        <v>42</v>
      </c>
      <c r="B74" s="3">
        <f t="shared" si="12"/>
        <v>-5.917768988243526</v>
      </c>
      <c r="C74" s="3">
        <f t="shared" si="13"/>
        <v>-28.24558581033077</v>
      </c>
      <c r="D74" s="3">
        <f t="shared" si="14"/>
        <v>-6.902665503943317</v>
      </c>
      <c r="E74" s="18">
        <f t="shared" si="15"/>
        <v>29.672881535609324</v>
      </c>
      <c r="F74" s="3">
        <f t="shared" si="16"/>
        <v>258.16704210129603</v>
      </c>
      <c r="G74" s="17">
        <f t="shared" si="17"/>
        <v>17.211136140086403</v>
      </c>
      <c r="H74" s="3">
        <f t="shared" si="18"/>
        <v>-13.451688598065687</v>
      </c>
    </row>
    <row r="76" ht="12.75">
      <c r="A76" s="7" t="s">
        <v>278</v>
      </c>
    </row>
  </sheetData>
  <printOptions/>
  <pageMargins left="0.75" right="0.75" top="1" bottom="1" header="0.5" footer="0.5"/>
  <pageSetup horizontalDpi="360" verticalDpi="36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6"/>
  <sheetViews>
    <sheetView workbookViewId="0" topLeftCell="A1">
      <selection activeCell="D18" sqref="D18"/>
    </sheetView>
  </sheetViews>
  <sheetFormatPr defaultColWidth="9.140625" defaultRowHeight="12.75"/>
  <cols>
    <col min="1" max="1" width="21.8515625" style="0" customWidth="1"/>
    <col min="2" max="2" width="12.57421875" style="0" bestFit="1" customWidth="1"/>
    <col min="3" max="4" width="10.57421875" style="0" bestFit="1" customWidth="1"/>
    <col min="5" max="5" width="9.57421875" style="0" bestFit="1" customWidth="1"/>
    <col min="6" max="6" width="11.140625" style="0" bestFit="1" customWidth="1"/>
    <col min="7" max="10" width="10.57421875" style="0" bestFit="1" customWidth="1"/>
  </cols>
  <sheetData>
    <row r="1" ht="18">
      <c r="A1" s="1" t="s">
        <v>2</v>
      </c>
    </row>
    <row r="2" ht="12.75">
      <c r="A2" s="10" t="s">
        <v>279</v>
      </c>
    </row>
    <row r="3" ht="12.75">
      <c r="A3" s="10" t="s">
        <v>280</v>
      </c>
    </row>
    <row r="4" ht="12.75">
      <c r="A4" s="10"/>
    </row>
    <row r="6" spans="1:4" ht="12.75">
      <c r="A6" s="7" t="s">
        <v>15</v>
      </c>
      <c r="D6" s="7" t="s">
        <v>80</v>
      </c>
    </row>
    <row r="7" spans="1:7" ht="12.75">
      <c r="A7" s="2" t="s">
        <v>11</v>
      </c>
      <c r="B7" s="3">
        <v>0</v>
      </c>
      <c r="D7" s="20"/>
      <c r="E7" s="25" t="s">
        <v>81</v>
      </c>
      <c r="F7" s="23" t="s">
        <v>82</v>
      </c>
      <c r="G7" s="19" t="s">
        <v>83</v>
      </c>
    </row>
    <row r="8" spans="1:7" ht="12.75">
      <c r="A8" s="2" t="s">
        <v>12</v>
      </c>
      <c r="B8" s="3">
        <f>(41+29/60)</f>
        <v>41.483333333333334</v>
      </c>
      <c r="D8" s="21" t="s">
        <v>34</v>
      </c>
      <c r="E8" s="67" t="str">
        <f>CONCATENATE(TEXT(INT(G66),"00"),":",TEXT(INT(60*(G66-INT(G66))),"00"),":",TEXT((G66-INT(G66)-INT(60*(G66-INT(G66)))/60)*3600,"00"))</f>
        <v>18:27:22</v>
      </c>
      <c r="F8" s="68" t="str">
        <f>CONCATENATE(TEXT(INT(ABS(H66)),"00"),":",TEXT(INT(60*(ABS(H66)-INT(ABS(H66)))),"00"),":",TEXT((ABS(H66)-INT(ABS(H66))-INT(60*(ABS(H66)-INT(ABS(H66))))/60)*3600,"00"),IF(H66&lt;0,"s","n"))</f>
        <v>25:34:53s</v>
      </c>
      <c r="G8" s="3">
        <f>E66</f>
        <v>1.2685342534365216</v>
      </c>
    </row>
    <row r="9" spans="1:7" ht="12.75">
      <c r="A9" s="2" t="s">
        <v>8</v>
      </c>
      <c r="B9" s="4">
        <v>0</v>
      </c>
      <c r="D9" s="21" t="s">
        <v>35</v>
      </c>
      <c r="E9" s="67" t="str">
        <f>CONCATENATE(TEXT(INT(G67),"00"),":",TEXT(INT(60*(G67-INT(G67))),"00"),":",TEXT((G67-INT(G67)-INT(60*(G67-INT(G67)))/60)*3600,"00"))</f>
        <v>14:26:18</v>
      </c>
      <c r="F9" s="68" t="str">
        <f>CONCATENATE(TEXT(INT(ABS(H67)),"00"),":",TEXT(INT(60*(ABS(H67)-INT(ABS(H67)))),"00"),":",TEXT((ABS(H67)-INT(ABS(H67))-INT(60*(ABS(H67)-INT(ABS(H67))))/60)*3600,"00"),IF(H67&lt;0,"s","n"))</f>
        <v>11:42:29s</v>
      </c>
      <c r="G9" s="3">
        <f>E67</f>
        <v>0.4570009225308413</v>
      </c>
    </row>
    <row r="10" spans="1:7" ht="12.75">
      <c r="A10" s="2" t="s">
        <v>9</v>
      </c>
      <c r="B10" s="4">
        <v>0</v>
      </c>
      <c r="D10" s="21" t="s">
        <v>37</v>
      </c>
      <c r="E10" s="67" t="str">
        <f aca="true" t="shared" si="0" ref="E10:E15">CONCATENATE(TEXT(INT(G69),"00"),":",TEXT(INT(60*(G69-INT(G69))),"00"),":",TEXT((G69-INT(G69)-INT(60*(G69-INT(G69)))/60)*3600,"00"))</f>
        <v>14:20:53</v>
      </c>
      <c r="F10" s="68" t="str">
        <f aca="true" t="shared" si="1" ref="F10:F15">CONCATENATE(TEXT(INT(ABS(H69)),"00"),":",TEXT(INT(60*(ABS(H69)-INT(ABS(H69)))),"00"),":",TEXT((ABS(H69)-INT(ABS(H69))-INT(60*(ABS(H69)-INT(ABS(H69))))/60)*3600,"00"),IF(H69&lt;0,"s","n"))</f>
        <v>13:10:08s</v>
      </c>
      <c r="G10" s="3">
        <f aca="true" t="shared" si="2" ref="G10:G15">E69</f>
        <v>2.200936345800752</v>
      </c>
    </row>
    <row r="11" spans="1:7" ht="12.75">
      <c r="A11" s="2"/>
      <c r="B11" s="4"/>
      <c r="D11" s="21" t="s">
        <v>38</v>
      </c>
      <c r="E11" s="67" t="str">
        <f t="shared" si="0"/>
        <v>09:22:39</v>
      </c>
      <c r="F11" s="68" t="str">
        <f t="shared" si="1"/>
        <v>16:06:09n</v>
      </c>
      <c r="G11" s="3">
        <f t="shared" si="2"/>
        <v>4.69828043176752</v>
      </c>
    </row>
    <row r="12" spans="1:7" ht="12.75">
      <c r="A12" s="8" t="s">
        <v>16</v>
      </c>
      <c r="B12" s="3"/>
      <c r="D12" s="21" t="s">
        <v>39</v>
      </c>
      <c r="E12" s="67" t="str">
        <f t="shared" si="0"/>
        <v>05:42:46</v>
      </c>
      <c r="F12" s="68" t="str">
        <f t="shared" si="1"/>
        <v>22:03:36n</v>
      </c>
      <c r="G12" s="3">
        <f t="shared" si="2"/>
        <v>8.05568119302336</v>
      </c>
    </row>
    <row r="13" spans="1:7" ht="12.75">
      <c r="A13" s="2" t="s">
        <v>3</v>
      </c>
      <c r="B13" s="5">
        <v>2002</v>
      </c>
      <c r="D13" s="21" t="s">
        <v>41</v>
      </c>
      <c r="E13" s="67" t="str">
        <f t="shared" si="0"/>
        <v>21:52:17</v>
      </c>
      <c r="F13" s="68" t="str">
        <f t="shared" si="1"/>
        <v>13:41:19s</v>
      </c>
      <c r="G13" s="3">
        <f t="shared" si="2"/>
        <v>20.411909640919102</v>
      </c>
    </row>
    <row r="14" spans="1:7" ht="12.75">
      <c r="A14" s="2" t="s">
        <v>5</v>
      </c>
      <c r="B14" s="6">
        <v>12</v>
      </c>
      <c r="D14" s="21" t="s">
        <v>40</v>
      </c>
      <c r="E14" s="67" t="str">
        <f t="shared" si="0"/>
        <v>20:45:38</v>
      </c>
      <c r="F14" s="68" t="str">
        <f t="shared" si="1"/>
        <v>17:58:04s</v>
      </c>
      <c r="G14" s="3">
        <f t="shared" si="2"/>
        <v>30.73134938148814</v>
      </c>
    </row>
    <row r="15" spans="1:7" ht="12.75">
      <c r="A15" s="2" t="s">
        <v>4</v>
      </c>
      <c r="B15" s="6">
        <v>12</v>
      </c>
      <c r="D15" s="21" t="s">
        <v>42</v>
      </c>
      <c r="E15" s="67" t="str">
        <f t="shared" si="0"/>
        <v>17:09:31</v>
      </c>
      <c r="F15" s="68" t="str">
        <f t="shared" si="1"/>
        <v>13:41:20s</v>
      </c>
      <c r="G15" s="3">
        <f t="shared" si="2"/>
        <v>31.557507677672874</v>
      </c>
    </row>
    <row r="16" spans="1:2" ht="12.75">
      <c r="A16" s="2" t="s">
        <v>6</v>
      </c>
      <c r="B16" s="6">
        <v>21</v>
      </c>
    </row>
    <row r="17" spans="1:5" ht="12.75">
      <c r="A17" s="2" t="s">
        <v>7</v>
      </c>
      <c r="B17" s="6">
        <v>51</v>
      </c>
      <c r="E17" s="3"/>
    </row>
    <row r="18" spans="4:6" ht="12.75">
      <c r="D18" s="34"/>
      <c r="E18" s="69"/>
      <c r="F18" s="34"/>
    </row>
    <row r="19" spans="1:5" ht="12.75">
      <c r="A19" s="7" t="s">
        <v>56</v>
      </c>
      <c r="E19" s="5"/>
    </row>
    <row r="20" spans="1:5" ht="12.75">
      <c r="A20" s="2" t="s">
        <v>13</v>
      </c>
      <c r="B20" s="9">
        <f>367*B13-INT(7*(B13+INT((B14+9)/12))/4)+INT(275*B14/9)+B15+(B16+B17/60)/24-730531.5+(-B9+B10)/24</f>
        <v>1076.4104166666511</v>
      </c>
      <c r="E20" s="5"/>
    </row>
    <row r="21" spans="1:2" ht="12.75">
      <c r="A21" s="2" t="s">
        <v>10</v>
      </c>
      <c r="B21" s="9">
        <f>B20/36525</f>
        <v>0.029470511065479838</v>
      </c>
    </row>
    <row r="22" spans="1:2" ht="12.75">
      <c r="A22" s="2" t="s">
        <v>14</v>
      </c>
      <c r="B22" s="9">
        <f>MOD(280.46061837+360.98564736629*B20+B7,360)</f>
        <v>49.17171059898101</v>
      </c>
    </row>
    <row r="23" ht="12.75">
      <c r="E23" s="14"/>
    </row>
    <row r="24" spans="1:6" ht="12.75">
      <c r="A24" s="7" t="s">
        <v>255</v>
      </c>
      <c r="B24" s="2" t="s">
        <v>256</v>
      </c>
      <c r="C24" s="2" t="s">
        <v>257</v>
      </c>
      <c r="D24" s="2" t="s">
        <v>258</v>
      </c>
      <c r="E24" s="2" t="s">
        <v>264</v>
      </c>
      <c r="F24" t="s">
        <v>265</v>
      </c>
    </row>
    <row r="25" spans="1:6" ht="12.75">
      <c r="A25" s="16" t="s">
        <v>253</v>
      </c>
      <c r="B25">
        <v>2003</v>
      </c>
      <c r="C25">
        <v>7</v>
      </c>
      <c r="D25">
        <v>30</v>
      </c>
      <c r="E25">
        <f>367*B25-INT(7*(B25+INT((C25+9)/12))/4)+INT(275*C25/9)+D25-730531.5</f>
        <v>1305.5</v>
      </c>
      <c r="F25" s="12">
        <f>B20-E25</f>
        <v>-229.08958333334886</v>
      </c>
    </row>
    <row r="26" ht="12.75">
      <c r="A26" s="7"/>
    </row>
    <row r="27" spans="1:8" ht="12.75">
      <c r="A27" s="61" t="s">
        <v>259</v>
      </c>
      <c r="B27" s="19" t="s">
        <v>49</v>
      </c>
      <c r="C27" s="19" t="s">
        <v>260</v>
      </c>
      <c r="D27" s="19" t="s">
        <v>261</v>
      </c>
      <c r="E27" s="19" t="s">
        <v>43</v>
      </c>
      <c r="F27" s="19" t="s">
        <v>262</v>
      </c>
      <c r="G27" s="19" t="s">
        <v>44</v>
      </c>
      <c r="H27" s="19" t="s">
        <v>263</v>
      </c>
    </row>
    <row r="28" spans="1:8" ht="12.75">
      <c r="A28" s="62" t="s">
        <v>34</v>
      </c>
      <c r="B28" s="58">
        <v>7.00502</v>
      </c>
      <c r="C28" s="58">
        <v>48.37336</v>
      </c>
      <c r="D28" s="58">
        <v>77.51167</v>
      </c>
      <c r="E28" s="59">
        <v>0.387097</v>
      </c>
      <c r="F28" s="60">
        <v>4.0923671</v>
      </c>
      <c r="G28" s="60">
        <v>0.2056369</v>
      </c>
      <c r="H28" s="58">
        <v>117.33903</v>
      </c>
    </row>
    <row r="29" spans="1:8" ht="12.75">
      <c r="A29" s="62" t="s">
        <v>35</v>
      </c>
      <c r="B29" s="58">
        <v>3.39472</v>
      </c>
      <c r="C29" s="58">
        <v>76.71161</v>
      </c>
      <c r="D29" s="58">
        <v>131.60374</v>
      </c>
      <c r="E29" s="59">
        <v>0.723331</v>
      </c>
      <c r="F29" s="60">
        <v>1.6021334</v>
      </c>
      <c r="G29" s="60">
        <v>0.0067367</v>
      </c>
      <c r="H29" s="58">
        <v>342.0067</v>
      </c>
    </row>
    <row r="30" spans="1:8" ht="12.75">
      <c r="A30" s="21" t="s">
        <v>36</v>
      </c>
      <c r="B30" s="58">
        <v>7E-05</v>
      </c>
      <c r="C30" s="58">
        <v>243.36859</v>
      </c>
      <c r="D30" s="58">
        <v>102.9925</v>
      </c>
      <c r="E30" s="59">
        <v>1</v>
      </c>
      <c r="F30" s="60">
        <v>0.9856096</v>
      </c>
      <c r="G30" s="60">
        <v>0.0167123</v>
      </c>
      <c r="H30" s="58">
        <v>204.23538</v>
      </c>
    </row>
    <row r="31" spans="1:8" ht="12.75">
      <c r="A31" s="21" t="s">
        <v>37</v>
      </c>
      <c r="B31" s="58">
        <v>1.84957</v>
      </c>
      <c r="C31" s="58">
        <v>49.58266</v>
      </c>
      <c r="D31" s="58">
        <v>336.10284</v>
      </c>
      <c r="E31" s="59">
        <v>1.523701</v>
      </c>
      <c r="F31" s="60">
        <v>0.5240279</v>
      </c>
      <c r="G31" s="60">
        <v>0.0935572</v>
      </c>
      <c r="H31" s="58">
        <v>343.51593</v>
      </c>
    </row>
    <row r="32" spans="1:8" ht="12.75">
      <c r="A32" s="21" t="s">
        <v>38</v>
      </c>
      <c r="B32" s="58">
        <v>1.30364</v>
      </c>
      <c r="C32" s="58">
        <v>100.54118</v>
      </c>
      <c r="D32" s="58">
        <v>14.88558</v>
      </c>
      <c r="E32" s="59">
        <v>5.202056</v>
      </c>
      <c r="F32" s="60">
        <v>0.0831091</v>
      </c>
      <c r="G32" s="60">
        <v>0.0489507</v>
      </c>
      <c r="H32" s="58">
        <v>127.96583</v>
      </c>
    </row>
    <row r="33" spans="1:8" ht="12.75">
      <c r="A33" s="21" t="s">
        <v>39</v>
      </c>
      <c r="B33" s="58">
        <v>2.48551</v>
      </c>
      <c r="C33" s="58">
        <v>113.66668</v>
      </c>
      <c r="D33" s="58">
        <v>93.84391</v>
      </c>
      <c r="E33" s="59">
        <v>9.581041</v>
      </c>
      <c r="F33" s="60">
        <v>0.0332389</v>
      </c>
      <c r="G33" s="60">
        <v>0.0574197</v>
      </c>
      <c r="H33" s="58">
        <v>0.10457</v>
      </c>
    </row>
    <row r="34" spans="1:8" ht="12.75">
      <c r="A34" s="21" t="s">
        <v>41</v>
      </c>
      <c r="B34" s="58">
        <v>0.77187</v>
      </c>
      <c r="C34" s="58">
        <v>73.86906</v>
      </c>
      <c r="D34" s="58">
        <v>169.43754</v>
      </c>
      <c r="E34" s="59">
        <v>19.130024</v>
      </c>
      <c r="F34" s="60">
        <v>0.0117799</v>
      </c>
      <c r="G34" s="60">
        <v>0.0499317</v>
      </c>
      <c r="H34" s="58">
        <v>159.211</v>
      </c>
    </row>
    <row r="35" spans="1:8" ht="12.75">
      <c r="A35" s="21" t="s">
        <v>40</v>
      </c>
      <c r="B35" s="58">
        <v>1.77101</v>
      </c>
      <c r="C35" s="58">
        <v>131.82616</v>
      </c>
      <c r="D35" s="58">
        <v>69.44961</v>
      </c>
      <c r="E35" s="59">
        <v>29.947586</v>
      </c>
      <c r="F35" s="60">
        <v>0.0060141</v>
      </c>
      <c r="G35" s="60">
        <v>0.0095951</v>
      </c>
      <c r="H35" s="58">
        <v>243.28084</v>
      </c>
    </row>
    <row r="36" spans="1:8" ht="12.75">
      <c r="A36" s="21" t="s">
        <v>42</v>
      </c>
      <c r="B36" s="58">
        <v>17.16704</v>
      </c>
      <c r="C36" s="58">
        <v>110.28895</v>
      </c>
      <c r="D36" s="58">
        <v>223.5414</v>
      </c>
      <c r="E36" s="59">
        <v>39.446486</v>
      </c>
      <c r="F36" s="60">
        <v>0.0039782</v>
      </c>
      <c r="G36" s="60">
        <v>0.2491465</v>
      </c>
      <c r="H36" s="58">
        <v>20.38981</v>
      </c>
    </row>
    <row r="37" spans="1:8" ht="12.75">
      <c r="A37" s="47"/>
      <c r="B37" s="58"/>
      <c r="C37" s="58"/>
      <c r="D37" s="58"/>
      <c r="E37" s="59"/>
      <c r="F37" s="60"/>
      <c r="G37" s="60"/>
      <c r="H37" s="58"/>
    </row>
    <row r="38" spans="1:8" ht="12.75">
      <c r="A38" s="45" t="s">
        <v>268</v>
      </c>
      <c r="B38" s="58"/>
      <c r="C38" s="58"/>
      <c r="D38" s="58"/>
      <c r="E38" s="59"/>
      <c r="F38" s="60"/>
      <c r="G38" s="60"/>
      <c r="H38" s="58"/>
    </row>
    <row r="39" spans="1:10" ht="12.75">
      <c r="A39" s="63"/>
      <c r="B39" s="64" t="s">
        <v>275</v>
      </c>
      <c r="C39" s="64" t="s">
        <v>267</v>
      </c>
      <c r="D39" s="64" t="s">
        <v>266</v>
      </c>
      <c r="E39" s="64" t="s">
        <v>32</v>
      </c>
      <c r="F39" s="64" t="s">
        <v>31</v>
      </c>
      <c r="G39" s="64" t="s">
        <v>182</v>
      </c>
      <c r="H39" s="3"/>
      <c r="I39" s="3"/>
      <c r="J39" s="3"/>
    </row>
    <row r="40" spans="1:10" ht="12.75">
      <c r="A40" s="62" t="s">
        <v>34</v>
      </c>
      <c r="B40" s="3">
        <f aca="true" t="shared" si="3" ref="B40:B48">MOD(H28+$F$25*F28,360)</f>
        <v>259.8203562138949</v>
      </c>
      <c r="C40" s="3">
        <f aca="true" t="shared" si="4" ref="C40:C48">DEGREES(RADIANS(B40)+(2*G28-0.25*G28^3+5/96*G28^5)*SIN(RADIANS(B40))+(1.25*G28^2-11/24*G28^4)*SIN(2*RADIANS(B40))+(13/12*G28^3-43/64*G28^5)*SIN(3*RADIANS(B40))+103/96*G28^4*SIN(4*RADIANS(B40))+1097/960*G28^5*SIN(5*RADIANS(B40)))</f>
        <v>238.15165910876343</v>
      </c>
      <c r="D40" s="3">
        <f aca="true" t="shared" si="5" ref="D40:D48">E28*(1-G28^2)/(1+G28*COS(RADIANS(C40)))</f>
        <v>0.41585164358441845</v>
      </c>
      <c r="E40" s="3">
        <f aca="true" t="shared" si="6" ref="E40:E48">D40*(COS(RADIANS(C40+D28-C28))*COS(RADIANS(C28))-SIN(RADIANS(C40+D28-C28))*COS(RADIANS(B28))*SIN(RADIANS(C28)))</f>
        <v>0.2951183365979315</v>
      </c>
      <c r="F40" s="3">
        <f aca="true" t="shared" si="7" ref="F40:F48">D40*(COS(RADIANS(C40+D28-C28))*SIN(RADIANS(C28))+SIN(RADIANS(C40+D28-C28))*COS(RADIANS(B28))*COS(RADIANS(C28)))</f>
        <v>-0.2885678803331362</v>
      </c>
      <c r="G40" s="3">
        <f aca="true" t="shared" si="8" ref="G40:G48">D40*SIN(RADIANS(C40+D28-C28))*SIN(RADIANS(B28))</f>
        <v>-0.05065901021114559</v>
      </c>
      <c r="H40" s="3"/>
      <c r="I40" s="3"/>
      <c r="J40" s="3"/>
    </row>
    <row r="41" spans="1:10" ht="12.75">
      <c r="A41" s="62" t="s">
        <v>35</v>
      </c>
      <c r="B41" s="3">
        <f t="shared" si="3"/>
        <v>334.97462694955846</v>
      </c>
      <c r="C41" s="3">
        <f t="shared" si="4"/>
        <v>334.6455606597022</v>
      </c>
      <c r="D41" s="3">
        <f t="shared" si="5"/>
        <v>0.7189215263117041</v>
      </c>
      <c r="E41" s="3">
        <f t="shared" si="6"/>
        <v>-0.20056141465827484</v>
      </c>
      <c r="F41" s="3">
        <f t="shared" si="7"/>
        <v>0.6900600135406971</v>
      </c>
      <c r="G41" s="3">
        <f t="shared" si="8"/>
        <v>0.020987083094959107</v>
      </c>
      <c r="H41" s="3"/>
      <c r="I41" s="3"/>
      <c r="J41" s="3"/>
    </row>
    <row r="42" spans="1:10" ht="12.75">
      <c r="A42" s="21" t="s">
        <v>36</v>
      </c>
      <c r="B42" s="3">
        <f t="shared" si="3"/>
        <v>338.44248740665137</v>
      </c>
      <c r="C42" s="3">
        <f t="shared" si="4"/>
        <v>337.7249044928476</v>
      </c>
      <c r="D42" s="3">
        <f t="shared" si="5"/>
        <v>0.9844953432913371</v>
      </c>
      <c r="E42" s="3">
        <f t="shared" si="6"/>
        <v>0.15880307695278784</v>
      </c>
      <c r="F42" s="3">
        <f t="shared" si="7"/>
        <v>0.9716031410573589</v>
      </c>
      <c r="G42" s="3">
        <f t="shared" si="8"/>
        <v>-3.58657174672597E-07</v>
      </c>
      <c r="H42" s="3"/>
      <c r="I42" s="3"/>
      <c r="J42" s="3"/>
    </row>
    <row r="43" spans="1:10" ht="12.75">
      <c r="A43" s="21" t="s">
        <v>37</v>
      </c>
      <c r="B43" s="3">
        <f t="shared" si="3"/>
        <v>223.4665967339502</v>
      </c>
      <c r="C43" s="3">
        <f t="shared" si="4"/>
        <v>216.68569580845377</v>
      </c>
      <c r="D43" s="3">
        <f t="shared" si="5"/>
        <v>1.6328716934246628</v>
      </c>
      <c r="E43" s="3">
        <f t="shared" si="6"/>
        <v>-1.591978207060107</v>
      </c>
      <c r="F43" s="3">
        <f t="shared" si="7"/>
        <v>-0.36177201489067284</v>
      </c>
      <c r="G43" s="3">
        <f t="shared" si="8"/>
        <v>0.031565244734602406</v>
      </c>
      <c r="H43" s="3"/>
      <c r="I43" s="3"/>
      <c r="J43" s="3"/>
    </row>
    <row r="44" spans="1:10" ht="12.75">
      <c r="A44" s="21" t="s">
        <v>38</v>
      </c>
      <c r="B44" s="3">
        <f t="shared" si="3"/>
        <v>108.92640090979037</v>
      </c>
      <c r="C44" s="3">
        <f t="shared" si="4"/>
        <v>114.12202871092825</v>
      </c>
      <c r="D44" s="3">
        <f t="shared" si="5"/>
        <v>5.295529319909036</v>
      </c>
      <c r="E44" s="3">
        <f t="shared" si="6"/>
        <v>-3.3324887735218476</v>
      </c>
      <c r="F44" s="3">
        <f t="shared" si="7"/>
        <v>4.115076150448787</v>
      </c>
      <c r="G44" s="3">
        <f t="shared" si="8"/>
        <v>0.05742498040659038</v>
      </c>
      <c r="H44" s="3"/>
      <c r="I44" s="3"/>
      <c r="J44" s="3"/>
    </row>
    <row r="45" spans="1:10" ht="12.75">
      <c r="A45" s="21" t="s">
        <v>39</v>
      </c>
      <c r="B45" s="3">
        <f t="shared" si="3"/>
        <v>352.48988424854116</v>
      </c>
      <c r="C45" s="3">
        <f t="shared" si="4"/>
        <v>351.56427398996715</v>
      </c>
      <c r="D45" s="3">
        <f t="shared" si="5"/>
        <v>9.036209158829491</v>
      </c>
      <c r="E45" s="3">
        <f t="shared" si="6"/>
        <v>0.719721361486578</v>
      </c>
      <c r="F45" s="3">
        <f t="shared" si="7"/>
        <v>9.0055902216475</v>
      </c>
      <c r="G45" s="3">
        <f t="shared" si="8"/>
        <v>-0.18553135503420262</v>
      </c>
      <c r="H45" s="3"/>
      <c r="I45" s="3"/>
      <c r="J45" s="3"/>
    </row>
    <row r="46" spans="1:10" ht="12.75">
      <c r="A46" s="21" t="s">
        <v>41</v>
      </c>
      <c r="B46" s="3">
        <f t="shared" si="3"/>
        <v>156.5123476172915</v>
      </c>
      <c r="C46" s="3">
        <f t="shared" si="4"/>
        <v>158.66853817054363</v>
      </c>
      <c r="D46" s="3">
        <f t="shared" si="5"/>
        <v>20.013160835711314</v>
      </c>
      <c r="E46" s="3">
        <f t="shared" si="6"/>
        <v>16.9900498266841</v>
      </c>
      <c r="F46" s="3">
        <f t="shared" si="7"/>
        <v>-10.573433313476723</v>
      </c>
      <c r="G46" s="3">
        <f t="shared" si="8"/>
        <v>-0.25946384777330916</v>
      </c>
      <c r="H46" s="3"/>
      <c r="I46" s="3"/>
      <c r="J46" s="3"/>
    </row>
    <row r="47" spans="1:10" ht="12.75">
      <c r="A47" s="21" t="s">
        <v>40</v>
      </c>
      <c r="B47" s="3">
        <f t="shared" si="3"/>
        <v>241.9030723368749</v>
      </c>
      <c r="C47" s="3">
        <f t="shared" si="4"/>
        <v>240.93862552371283</v>
      </c>
      <c r="D47" s="3">
        <f t="shared" si="5"/>
        <v>30.085048748538167</v>
      </c>
      <c r="E47" s="3">
        <f t="shared" si="6"/>
        <v>19.49428285958394</v>
      </c>
      <c r="F47" s="3">
        <f t="shared" si="7"/>
        <v>-22.914679784380215</v>
      </c>
      <c r="G47" s="3">
        <f t="shared" si="8"/>
        <v>0.02333177589597624</v>
      </c>
      <c r="H47" s="3"/>
      <c r="I47" s="3"/>
      <c r="J47" s="3"/>
    </row>
    <row r="48" spans="1:10" ht="12.75">
      <c r="A48" s="21" t="s">
        <v>42</v>
      </c>
      <c r="B48" s="3">
        <f t="shared" si="3"/>
        <v>19.47844581958327</v>
      </c>
      <c r="C48" s="3">
        <f t="shared" si="4"/>
        <v>32.73757267644859</v>
      </c>
      <c r="D48" s="3">
        <f t="shared" si="5"/>
        <v>30.587605791084318</v>
      </c>
      <c r="E48" s="3">
        <f t="shared" si="6"/>
        <v>-6.540283806612838</v>
      </c>
      <c r="F48" s="3">
        <f t="shared" si="7"/>
        <v>-29.450395582706786</v>
      </c>
      <c r="G48" s="3">
        <f t="shared" si="8"/>
        <v>5.049803538932735</v>
      </c>
      <c r="H48" s="3"/>
      <c r="I48" s="3"/>
      <c r="J48" s="3"/>
    </row>
    <row r="49" spans="1:10" ht="12.75">
      <c r="A49" s="2"/>
      <c r="B49" s="3"/>
      <c r="C49" s="3"/>
      <c r="D49" s="3"/>
      <c r="E49" s="3"/>
      <c r="F49" s="3"/>
      <c r="G49" s="3"/>
      <c r="H49" s="3"/>
      <c r="I49" s="3"/>
      <c r="J49" s="3"/>
    </row>
    <row r="50" spans="1:10" ht="12.75">
      <c r="A50" s="65" t="s">
        <v>269</v>
      </c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2"/>
      <c r="B51" s="3"/>
      <c r="C51" s="3"/>
      <c r="D51" s="3"/>
      <c r="E51" s="3"/>
      <c r="F51" s="3"/>
      <c r="G51" s="3"/>
      <c r="H51" s="3"/>
      <c r="I51" s="3"/>
      <c r="J51" s="3"/>
    </row>
    <row r="52" spans="1:10" ht="12.75">
      <c r="A52" s="20"/>
      <c r="B52" s="19" t="s">
        <v>32</v>
      </c>
      <c r="C52" s="64" t="s">
        <v>31</v>
      </c>
      <c r="D52" s="64" t="s">
        <v>182</v>
      </c>
      <c r="E52" s="66"/>
      <c r="F52" s="3"/>
      <c r="G52" s="3"/>
      <c r="H52" s="3"/>
      <c r="I52" s="3"/>
      <c r="J52" s="3"/>
    </row>
    <row r="53" spans="1:10" ht="12.75">
      <c r="A53" s="62" t="s">
        <v>34</v>
      </c>
      <c r="B53" s="3">
        <f aca="true" t="shared" si="9" ref="B53:B61">E40-E$42</f>
        <v>0.13631525964514368</v>
      </c>
      <c r="C53" s="3">
        <f aca="true" t="shared" si="10" ref="C53:C61">F40-F$42</f>
        <v>-1.260171021390495</v>
      </c>
      <c r="D53" s="3">
        <f aca="true" t="shared" si="11" ref="D53:D61">G40-G$42</f>
        <v>-0.05065865155397092</v>
      </c>
      <c r="E53" s="18"/>
      <c r="F53" s="3"/>
      <c r="G53" s="3"/>
      <c r="H53" s="3"/>
      <c r="I53" s="3"/>
      <c r="J53" s="3"/>
    </row>
    <row r="54" spans="1:10" ht="12.75">
      <c r="A54" s="62" t="s">
        <v>35</v>
      </c>
      <c r="B54" s="3">
        <f t="shared" si="9"/>
        <v>-0.35936449161106265</v>
      </c>
      <c r="C54" s="3">
        <f t="shared" si="10"/>
        <v>-0.2815431275166618</v>
      </c>
      <c r="D54" s="3">
        <f t="shared" si="11"/>
        <v>0.020987441752133778</v>
      </c>
      <c r="E54" s="3"/>
      <c r="F54" s="3"/>
      <c r="G54" s="3"/>
      <c r="H54" s="3"/>
      <c r="I54" s="3"/>
      <c r="J54" s="3"/>
    </row>
    <row r="55" spans="1:10" ht="12.75">
      <c r="A55" s="21" t="s">
        <v>36</v>
      </c>
      <c r="B55" s="3">
        <f t="shared" si="9"/>
        <v>0</v>
      </c>
      <c r="C55" s="3">
        <f t="shared" si="10"/>
        <v>0</v>
      </c>
      <c r="D55" s="3">
        <f t="shared" si="11"/>
        <v>0</v>
      </c>
      <c r="E55" s="3"/>
      <c r="F55" s="3"/>
      <c r="G55" s="3"/>
      <c r="H55" s="3"/>
      <c r="I55" s="3"/>
      <c r="J55" s="3"/>
    </row>
    <row r="56" spans="1:10" ht="12.75">
      <c r="A56" s="21" t="s">
        <v>37</v>
      </c>
      <c r="B56" s="3">
        <f t="shared" si="9"/>
        <v>-1.750781284012895</v>
      </c>
      <c r="C56" s="3">
        <f t="shared" si="10"/>
        <v>-1.3333751559480318</v>
      </c>
      <c r="D56" s="3">
        <f t="shared" si="11"/>
        <v>0.03156560339177708</v>
      </c>
      <c r="E56" s="3"/>
      <c r="F56" s="3"/>
      <c r="G56" s="3"/>
      <c r="H56" s="3"/>
      <c r="I56" s="3"/>
      <c r="J56" s="3"/>
    </row>
    <row r="57" spans="1:10" ht="12.75">
      <c r="A57" s="21" t="s">
        <v>38</v>
      </c>
      <c r="B57" s="3">
        <f t="shared" si="9"/>
        <v>-3.4912918504746355</v>
      </c>
      <c r="C57" s="3">
        <f t="shared" si="10"/>
        <v>3.1434730093914283</v>
      </c>
      <c r="D57" s="3">
        <f t="shared" si="11"/>
        <v>0.057425339063765055</v>
      </c>
      <c r="E57" s="3"/>
      <c r="F57" s="3"/>
      <c r="G57" s="3"/>
      <c r="H57" s="3"/>
      <c r="I57" s="3"/>
      <c r="J57" s="3"/>
    </row>
    <row r="58" spans="1:10" ht="12.75">
      <c r="A58" s="21" t="s">
        <v>39</v>
      </c>
      <c r="B58" s="3">
        <f t="shared" si="9"/>
        <v>0.5609182845337901</v>
      </c>
      <c r="C58" s="3">
        <f t="shared" si="10"/>
        <v>8.03398708059014</v>
      </c>
      <c r="D58" s="3">
        <f t="shared" si="11"/>
        <v>-0.18553099637702794</v>
      </c>
      <c r="E58" s="3"/>
      <c r="F58" s="3"/>
      <c r="G58" s="3"/>
      <c r="H58" s="3"/>
      <c r="I58" s="3"/>
      <c r="J58" s="3"/>
    </row>
    <row r="59" spans="1:10" ht="12.75">
      <c r="A59" s="21" t="s">
        <v>41</v>
      </c>
      <c r="B59" s="3">
        <f t="shared" si="9"/>
        <v>16.831246749731314</v>
      </c>
      <c r="C59" s="3">
        <f t="shared" si="10"/>
        <v>-11.545036454534083</v>
      </c>
      <c r="D59" s="3">
        <f t="shared" si="11"/>
        <v>-0.2594634891161345</v>
      </c>
      <c r="E59" s="3"/>
      <c r="F59" s="3"/>
      <c r="G59" s="3"/>
      <c r="H59" s="3"/>
      <c r="I59" s="3"/>
      <c r="J59" s="3"/>
    </row>
    <row r="60" spans="1:10" ht="12.75">
      <c r="A60" s="21" t="s">
        <v>40</v>
      </c>
      <c r="B60" s="3">
        <f t="shared" si="9"/>
        <v>19.335479782631154</v>
      </c>
      <c r="C60" s="3">
        <f t="shared" si="10"/>
        <v>-23.886282925437573</v>
      </c>
      <c r="D60" s="3">
        <f t="shared" si="11"/>
        <v>0.02333213455315091</v>
      </c>
      <c r="E60" s="3"/>
      <c r="F60" s="3"/>
      <c r="G60" s="3"/>
      <c r="H60" s="3"/>
      <c r="I60" s="3"/>
      <c r="J60" s="3"/>
    </row>
    <row r="61" spans="1:10" ht="12.75">
      <c r="A61" s="21" t="s">
        <v>42</v>
      </c>
      <c r="B61" s="3">
        <f t="shared" si="9"/>
        <v>-6.699086883565626</v>
      </c>
      <c r="C61" s="3">
        <f t="shared" si="10"/>
        <v>-30.421998723764144</v>
      </c>
      <c r="D61" s="3">
        <f t="shared" si="11"/>
        <v>5.04980389758991</v>
      </c>
      <c r="E61" s="3"/>
      <c r="F61" s="3"/>
      <c r="G61" s="3"/>
      <c r="H61" s="3"/>
      <c r="I61" s="3"/>
      <c r="J61" s="3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3"/>
    </row>
    <row r="63" ht="12.75">
      <c r="A63" s="7" t="s">
        <v>277</v>
      </c>
    </row>
    <row r="65" spans="1:8" ht="12.75">
      <c r="A65" s="20"/>
      <c r="B65" s="19" t="s">
        <v>270</v>
      </c>
      <c r="C65" s="64" t="s">
        <v>271</v>
      </c>
      <c r="D65" s="64" t="s">
        <v>272</v>
      </c>
      <c r="E65" s="64" t="s">
        <v>266</v>
      </c>
      <c r="F65" s="19" t="s">
        <v>273</v>
      </c>
      <c r="G65" s="19" t="s">
        <v>276</v>
      </c>
      <c r="H65" s="19" t="s">
        <v>274</v>
      </c>
    </row>
    <row r="66" spans="1:8" ht="12.75">
      <c r="A66" s="62" t="s">
        <v>34</v>
      </c>
      <c r="B66" s="3">
        <f>B53</f>
        <v>0.13631525964514368</v>
      </c>
      <c r="C66" s="3">
        <f>C53*COS(RADIANS(23.439292))-D53*SIN(RADIANS(23.439292))</f>
        <v>-1.1360334444289473</v>
      </c>
      <c r="D66" s="3">
        <f>C53*SIN(RADIANS(23.439292))+D53*COS(RADIANS(23.439292))</f>
        <v>-0.5477456665903732</v>
      </c>
      <c r="E66" s="18">
        <f>SQRT(B66*B66+C66*C66+D66*D66)</f>
        <v>1.2685342534365216</v>
      </c>
      <c r="F66" s="3">
        <f>IF(B66&lt;0,MOD(180+DEGREES(ATAN(C66/B66)),360),IF(C66&lt;0,MOD(360+DEGREES(ATAN(C66/B66)),360),MOD(DEGREES(ATAN(C66/B66)),360)))</f>
        <v>276.8423381878141</v>
      </c>
      <c r="G66" s="17">
        <f>F66/15</f>
        <v>18.45615587918761</v>
      </c>
      <c r="H66" s="3">
        <f>DEGREES(ATAN(D66/SQRT(B66*B66+C66*C66)))</f>
        <v>-25.58147524364147</v>
      </c>
    </row>
    <row r="67" spans="1:8" ht="12.75">
      <c r="A67" s="62" t="s">
        <v>35</v>
      </c>
      <c r="B67" s="3">
        <f>B54</f>
        <v>-0.35936449161106265</v>
      </c>
      <c r="C67" s="3">
        <f>C54*COS(RADIANS(23.439292))-D54*SIN(RADIANS(23.439292))</f>
        <v>-0.26665909264713683</v>
      </c>
      <c r="D67" s="3">
        <f>C54*SIN(RADIANS(23.439292))+D54*COS(RADIANS(23.439292))</f>
        <v>-0.09273582733640855</v>
      </c>
      <c r="E67" s="18">
        <f>SQRT(B67*B67+C67*C67+D67*D67)</f>
        <v>0.4570009225308413</v>
      </c>
      <c r="F67" s="3">
        <f>IF(B67&lt;0,MOD(180+DEGREES(ATAN(C67/B67)),360),IF(C67&lt;0,MOD(360+DEGREES(ATAN(C67/B67)),360),MOD(DEGREES(ATAN(C67/B67)),360)))</f>
        <v>216.57650905153002</v>
      </c>
      <c r="G67" s="17">
        <f>F67/15</f>
        <v>14.438433936768668</v>
      </c>
      <c r="H67" s="3">
        <f>DEGREES(ATAN(D67/SQRT(B67*B67+C67*C67)))</f>
        <v>-11.70791851674254</v>
      </c>
    </row>
    <row r="68" spans="2:8" ht="12.75">
      <c r="B68" s="3"/>
      <c r="C68" s="3"/>
      <c r="D68" s="3"/>
      <c r="E68" s="18"/>
      <c r="F68" s="3"/>
      <c r="G68" s="17"/>
      <c r="H68" s="3"/>
    </row>
    <row r="69" spans="1:8" ht="12.75">
      <c r="A69" s="21" t="s">
        <v>37</v>
      </c>
      <c r="B69" s="3">
        <f aca="true" t="shared" si="12" ref="B69:B74">B56</f>
        <v>-1.750781284012895</v>
      </c>
      <c r="C69" s="3">
        <f aca="true" t="shared" si="13" ref="C69:C74">C56*COS(RADIANS(23.439292))-D56*SIN(RADIANS(23.439292))</f>
        <v>-1.2359038557543418</v>
      </c>
      <c r="D69" s="3">
        <f aca="true" t="shared" si="14" ref="D69:D74">C56*SIN(RADIANS(23.439292))+D56*COS(RADIANS(23.439292))</f>
        <v>-0.5014253216067935</v>
      </c>
      <c r="E69" s="18">
        <f aca="true" t="shared" si="15" ref="E69:E74">SQRT(B69*B69+C69*C69+D69*D69)</f>
        <v>2.200936345800752</v>
      </c>
      <c r="F69" s="3">
        <f aca="true" t="shared" si="16" ref="F69:F74">IF(B69&lt;0,MOD(180+DEGREES(ATAN(C69/B69)),360),IF(C69&lt;0,MOD(360+DEGREES(ATAN(C69/B69)),360),MOD(DEGREES(ATAN(C69/B69)),360)))</f>
        <v>215.2188651272544</v>
      </c>
      <c r="G69" s="17">
        <f aca="true" t="shared" si="17" ref="G69:G74">F69/15</f>
        <v>14.34792434181696</v>
      </c>
      <c r="H69" s="3">
        <f aca="true" t="shared" si="18" ref="H69:H74">DEGREES(ATAN(D69/SQRT(B69*B69+C69*C69)))</f>
        <v>-13.168973902141596</v>
      </c>
    </row>
    <row r="70" spans="1:8" ht="12.75">
      <c r="A70" s="21" t="s">
        <v>38</v>
      </c>
      <c r="B70" s="3">
        <f t="shared" si="12"/>
        <v>-3.4912918504746355</v>
      </c>
      <c r="C70" s="3">
        <f t="shared" si="13"/>
        <v>2.8612375904478897</v>
      </c>
      <c r="D70" s="3">
        <f t="shared" si="14"/>
        <v>1.3030885163130494</v>
      </c>
      <c r="E70" s="18">
        <f t="shared" si="15"/>
        <v>4.69828043176752</v>
      </c>
      <c r="F70" s="3">
        <f t="shared" si="16"/>
        <v>140.6641648042494</v>
      </c>
      <c r="G70" s="17">
        <f t="shared" si="17"/>
        <v>9.377610986949959</v>
      </c>
      <c r="H70" s="3">
        <f t="shared" si="18"/>
        <v>16.10236732812146</v>
      </c>
    </row>
    <row r="71" spans="1:8" ht="12.75">
      <c r="A71" s="21" t="s">
        <v>39</v>
      </c>
      <c r="B71" s="3">
        <f t="shared" si="12"/>
        <v>0.5609182845337901</v>
      </c>
      <c r="C71" s="3">
        <f t="shared" si="13"/>
        <v>7.4448389784751186</v>
      </c>
      <c r="D71" s="3">
        <f t="shared" si="14"/>
        <v>3.0255152860766525</v>
      </c>
      <c r="E71" s="18">
        <f t="shared" si="15"/>
        <v>8.05568119302336</v>
      </c>
      <c r="F71" s="3">
        <f t="shared" si="16"/>
        <v>85.69129101400279</v>
      </c>
      <c r="G71" s="17">
        <f t="shared" si="17"/>
        <v>5.712752734266853</v>
      </c>
      <c r="H71" s="3">
        <f t="shared" si="18"/>
        <v>22.05987745793681</v>
      </c>
    </row>
    <row r="72" spans="1:8" ht="12.75">
      <c r="A72" s="21" t="s">
        <v>41</v>
      </c>
      <c r="B72" s="3">
        <f t="shared" si="12"/>
        <v>16.831246749731314</v>
      </c>
      <c r="C72" s="3">
        <f t="shared" si="13"/>
        <v>-10.489155129261935</v>
      </c>
      <c r="D72" s="3">
        <f t="shared" si="14"/>
        <v>-4.830405025769918</v>
      </c>
      <c r="E72" s="18">
        <f t="shared" si="15"/>
        <v>20.411909640919102</v>
      </c>
      <c r="F72" s="3">
        <f t="shared" si="16"/>
        <v>328.0690302897924</v>
      </c>
      <c r="G72" s="17">
        <f t="shared" si="17"/>
        <v>21.87126868598616</v>
      </c>
      <c r="H72" s="3">
        <f t="shared" si="18"/>
        <v>-13.688692576314962</v>
      </c>
    </row>
    <row r="73" spans="1:8" ht="12.75">
      <c r="A73" s="21" t="s">
        <v>40</v>
      </c>
      <c r="B73" s="3">
        <f t="shared" si="12"/>
        <v>19.335479782631154</v>
      </c>
      <c r="C73" s="3">
        <f t="shared" si="13"/>
        <v>-21.924516956649477</v>
      </c>
      <c r="D73" s="3">
        <f t="shared" si="14"/>
        <v>-9.480011213081074</v>
      </c>
      <c r="E73" s="18">
        <f t="shared" si="15"/>
        <v>30.73134938148814</v>
      </c>
      <c r="F73" s="3">
        <f t="shared" si="16"/>
        <v>311.4094358437207</v>
      </c>
      <c r="G73" s="17">
        <f t="shared" si="17"/>
        <v>20.760629056248046</v>
      </c>
      <c r="H73" s="3">
        <f t="shared" si="18"/>
        <v>-17.967661018901175</v>
      </c>
    </row>
    <row r="74" spans="1:8" ht="12.75">
      <c r="A74" s="21" t="s">
        <v>42</v>
      </c>
      <c r="B74" s="3">
        <f t="shared" si="12"/>
        <v>-6.699086883565626</v>
      </c>
      <c r="C74" s="3">
        <f t="shared" si="13"/>
        <v>-29.9203346378824</v>
      </c>
      <c r="D74" s="3">
        <f t="shared" si="14"/>
        <v>-7.468072101282631</v>
      </c>
      <c r="E74" s="18">
        <f t="shared" si="15"/>
        <v>31.557507677672874</v>
      </c>
      <c r="F74" s="3">
        <f t="shared" si="16"/>
        <v>257.37975772844356</v>
      </c>
      <c r="G74" s="17">
        <f t="shared" si="17"/>
        <v>17.15865051522957</v>
      </c>
      <c r="H74" s="3">
        <f t="shared" si="18"/>
        <v>-13.68888201161207</v>
      </c>
    </row>
    <row r="76" ht="12.75">
      <c r="A76" s="7" t="s">
        <v>278</v>
      </c>
    </row>
  </sheetData>
  <printOptions/>
  <pageMargins left="0.75" right="0.75" top="1" bottom="1" header="0.5" footer="0.5"/>
  <pageSetup horizontalDpi="360" verticalDpi="36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B16" sqref="B16"/>
    </sheetView>
  </sheetViews>
  <sheetFormatPr defaultColWidth="9.140625" defaultRowHeight="12.75"/>
  <cols>
    <col min="1" max="1" width="27.8515625" style="0" customWidth="1"/>
    <col min="2" max="2" width="12.00390625" style="0" bestFit="1" customWidth="1"/>
    <col min="4" max="4" width="22.421875" style="0" customWidth="1"/>
    <col min="5" max="5" width="9.57421875" style="0" bestFit="1" customWidth="1"/>
    <col min="6" max="6" width="11.28125" style="0" customWidth="1"/>
  </cols>
  <sheetData>
    <row r="1" ht="18">
      <c r="A1" s="1" t="s">
        <v>234</v>
      </c>
    </row>
    <row r="2" ht="12.75">
      <c r="A2" s="10" t="s">
        <v>242</v>
      </c>
    </row>
    <row r="4" spans="1:4" ht="12.75">
      <c r="A4" s="7" t="s">
        <v>15</v>
      </c>
      <c r="D4" s="7" t="s">
        <v>234</v>
      </c>
    </row>
    <row r="5" spans="1:6" ht="12.75">
      <c r="A5" s="2" t="s">
        <v>11</v>
      </c>
      <c r="B5" s="3">
        <v>-1.9167</v>
      </c>
      <c r="D5" s="2" t="s">
        <v>222</v>
      </c>
      <c r="E5" s="17">
        <f>B26</f>
        <v>270.6062873383755</v>
      </c>
      <c r="F5" s="2" t="s">
        <v>132</v>
      </c>
    </row>
    <row r="6" spans="1:6" ht="12.75">
      <c r="A6" s="2" t="s">
        <v>12</v>
      </c>
      <c r="B6" s="3">
        <v>52.5</v>
      </c>
      <c r="D6" s="2" t="s">
        <v>223</v>
      </c>
      <c r="E6" s="17">
        <v>0</v>
      </c>
      <c r="F6" s="2" t="s">
        <v>241</v>
      </c>
    </row>
    <row r="7" spans="1:7" ht="12.75">
      <c r="A7" s="2" t="s">
        <v>8</v>
      </c>
      <c r="B7" s="4">
        <v>0</v>
      </c>
      <c r="D7" s="2" t="s">
        <v>225</v>
      </c>
      <c r="E7" s="17">
        <f>B30/15</f>
        <v>18.044047159849374</v>
      </c>
      <c r="F7" s="2" t="s">
        <v>237</v>
      </c>
      <c r="G7">
        <f>E7*15</f>
        <v>270.6607073977406</v>
      </c>
    </row>
    <row r="8" spans="1:6" ht="12.75">
      <c r="A8" s="2" t="s">
        <v>9</v>
      </c>
      <c r="B8" s="4">
        <v>0</v>
      </c>
      <c r="D8" s="2" t="s">
        <v>226</v>
      </c>
      <c r="E8" s="17">
        <f>B31</f>
        <v>-23.437174870541195</v>
      </c>
      <c r="F8" s="2" t="s">
        <v>132</v>
      </c>
    </row>
    <row r="9" spans="1:6" ht="12.75">
      <c r="A9" s="2"/>
      <c r="B9" s="4"/>
      <c r="D9" s="2" t="s">
        <v>227</v>
      </c>
      <c r="E9" s="4">
        <f>C32</f>
        <v>1.4037958071569392</v>
      </c>
      <c r="F9" s="2" t="s">
        <v>238</v>
      </c>
    </row>
    <row r="10" spans="1:6" ht="12.75">
      <c r="A10" s="8" t="s">
        <v>16</v>
      </c>
      <c r="B10" s="3"/>
      <c r="D10" s="2" t="s">
        <v>235</v>
      </c>
      <c r="E10" s="9">
        <f>B33</f>
        <v>0.983665537060997</v>
      </c>
      <c r="F10" s="2" t="s">
        <v>239</v>
      </c>
    </row>
    <row r="11" spans="1:6" ht="12.75">
      <c r="A11" s="2" t="s">
        <v>3</v>
      </c>
      <c r="B11" s="5">
        <v>2002</v>
      </c>
      <c r="D11" s="2" t="s">
        <v>236</v>
      </c>
      <c r="E11" s="17">
        <f>B34*60</f>
        <v>16.261624909410738</v>
      </c>
      <c r="F11" s="2" t="s">
        <v>240</v>
      </c>
    </row>
    <row r="12" spans="1:2" ht="12.75">
      <c r="A12" s="2" t="s">
        <v>5</v>
      </c>
      <c r="B12" s="6">
        <v>12</v>
      </c>
    </row>
    <row r="13" spans="1:4" ht="12.75">
      <c r="A13" s="2" t="s">
        <v>4</v>
      </c>
      <c r="B13" s="6">
        <v>22</v>
      </c>
      <c r="D13" s="7" t="s">
        <v>243</v>
      </c>
    </row>
    <row r="14" spans="1:4" ht="12.75">
      <c r="A14" s="2" t="s">
        <v>6</v>
      </c>
      <c r="B14" s="6">
        <v>15</v>
      </c>
      <c r="D14" s="10" t="s">
        <v>244</v>
      </c>
    </row>
    <row r="15" spans="1:2" ht="12.75">
      <c r="A15" s="2" t="s">
        <v>7</v>
      </c>
      <c r="B15" s="6">
        <v>21</v>
      </c>
    </row>
    <row r="17" ht="12.75">
      <c r="A17" s="7" t="s">
        <v>56</v>
      </c>
    </row>
    <row r="18" spans="1:2" ht="12.75">
      <c r="A18" s="2" t="s">
        <v>13</v>
      </c>
      <c r="B18" s="9">
        <f>367*B11-INT(7*(B11+INT((B12+9)/12))/4)+INT(275*B12/9)+B13+(B14+B15/60)/24-730531.5+(-B7+B8)/24</f>
        <v>1086.139583333279</v>
      </c>
    </row>
    <row r="19" spans="1:6" ht="12.75">
      <c r="A19" s="2" t="s">
        <v>10</v>
      </c>
      <c r="B19" s="9">
        <f>B18/36525</f>
        <v>0.029736881131643505</v>
      </c>
      <c r="F19" s="36"/>
    </row>
    <row r="20" spans="1:2" ht="12.75">
      <c r="A20" s="2" t="s">
        <v>14</v>
      </c>
      <c r="B20" s="9">
        <f>MOD(280.46061837+360.98564736629*B18+B5,360)</f>
        <v>319.34453808615217</v>
      </c>
    </row>
    <row r="23" spans="1:5" ht="12.75">
      <c r="A23" s="7" t="s">
        <v>220</v>
      </c>
      <c r="B23" t="s">
        <v>228</v>
      </c>
      <c r="C23" t="s">
        <v>229</v>
      </c>
      <c r="D23" t="s">
        <v>30</v>
      </c>
      <c r="E23" t="s">
        <v>29</v>
      </c>
    </row>
    <row r="24" spans="1:5" ht="12.75">
      <c r="A24" s="2" t="s">
        <v>133</v>
      </c>
      <c r="B24" s="55">
        <f>MOD(280.461+0.9856474*$B$18,360)</f>
        <v>271.01165634952986</v>
      </c>
      <c r="C24" s="55">
        <f>RADIANS(B24)</f>
        <v>4.730045714582692</v>
      </c>
      <c r="D24" s="55">
        <f>COS(C24)</f>
        <v>0.017655816767621835</v>
      </c>
      <c r="E24" s="55">
        <f>SIN(C24)</f>
        <v>-0.9998441239184577</v>
      </c>
    </row>
    <row r="25" spans="1:5" ht="12.75">
      <c r="A25" s="2" t="s">
        <v>221</v>
      </c>
      <c r="B25" s="55">
        <f>MOD(357.528+0.9856003*$B$18,360)</f>
        <v>348.02749917515484</v>
      </c>
      <c r="C25" s="55">
        <f>RADIANS(B25)</f>
        <v>6.074225748088302</v>
      </c>
      <c r="D25" s="55">
        <f>COS(C25)</f>
        <v>0.9782472755250063</v>
      </c>
      <c r="E25" s="55">
        <f>SIN(C25)</f>
        <v>-0.20744220382531212</v>
      </c>
    </row>
    <row r="26" spans="1:5" ht="12.75">
      <c r="A26" s="2" t="s">
        <v>222</v>
      </c>
      <c r="B26" s="55">
        <f>MOD(B24+1.915*SIN(C25)+0.02*SIN(2*C25),360)</f>
        <v>270.6062873383755</v>
      </c>
      <c r="C26" s="55">
        <f>RADIANS(B26)</f>
        <v>4.722970690652495</v>
      </c>
      <c r="D26" s="55">
        <f>COS(C26)</f>
        <v>0.010581512791989628</v>
      </c>
      <c r="E26" s="55">
        <f>SIN(C26)</f>
        <v>-0.9999440142263131</v>
      </c>
    </row>
    <row r="27" spans="1:5" ht="12.75">
      <c r="A27" s="2" t="s">
        <v>223</v>
      </c>
      <c r="B27" s="55">
        <v>0</v>
      </c>
      <c r="C27" s="55"/>
      <c r="D27" s="55"/>
      <c r="E27" s="55"/>
    </row>
    <row r="28" spans="1:5" ht="12.75">
      <c r="A28" s="2" t="s">
        <v>224</v>
      </c>
      <c r="B28" s="55">
        <f>23.439-0.0000004*$B$18</f>
        <v>23.438565544166668</v>
      </c>
      <c r="C28" s="55">
        <f>RADIANS(B28)</f>
        <v>0.40908014069020476</v>
      </c>
      <c r="D28" s="55">
        <f>COS(C28)</f>
        <v>0.9174870992594081</v>
      </c>
      <c r="E28" s="55">
        <f>SIN(C28)</f>
        <v>0.39776553733645287</v>
      </c>
    </row>
    <row r="29" spans="1:5" ht="12.75">
      <c r="A29" s="2" t="s">
        <v>230</v>
      </c>
      <c r="B29" s="55">
        <f>180/3.14159265358979</f>
        <v>57.29577951308238</v>
      </c>
      <c r="C29" s="55">
        <f>(TAN(C28/2))^2</f>
        <v>0.043031789247740405</v>
      </c>
      <c r="D29" s="55"/>
      <c r="E29" s="55"/>
    </row>
    <row r="30" spans="1:5" ht="12.75">
      <c r="A30" s="2" t="s">
        <v>225</v>
      </c>
      <c r="B30" s="55">
        <f>B26-B29*C29*SIN(2*C26)+0.5*B29*C29^2*SIN(4*C26)</f>
        <v>270.6607073977406</v>
      </c>
      <c r="C30" s="55"/>
      <c r="D30" s="55"/>
      <c r="E30" s="55"/>
    </row>
    <row r="31" spans="1:5" ht="12.75">
      <c r="A31" s="2" t="s">
        <v>226</v>
      </c>
      <c r="B31" s="55">
        <f>DEGREES(C31)</f>
        <v>-23.437174870541195</v>
      </c>
      <c r="C31" s="55">
        <f>ASIN(E28*E26)</f>
        <v>-0.4090558688566196</v>
      </c>
      <c r="D31" s="55"/>
      <c r="E31" s="55"/>
    </row>
    <row r="32" spans="1:5" ht="12.75">
      <c r="A32" s="2" t="s">
        <v>231</v>
      </c>
      <c r="B32" s="55">
        <f>B24-B30</f>
        <v>0.3509489517892348</v>
      </c>
      <c r="C32" s="55">
        <f>B32*4</f>
        <v>1.4037958071569392</v>
      </c>
      <c r="D32" s="55"/>
      <c r="E32" s="55"/>
    </row>
    <row r="33" spans="1:2" ht="12.75">
      <c r="A33" s="2" t="s">
        <v>232</v>
      </c>
      <c r="B33">
        <f>1.00014-0.01671*COS(C25)-0.00014*COS(2*C25)</f>
        <v>0.983665537060997</v>
      </c>
    </row>
    <row r="34" spans="1:2" ht="12.75">
      <c r="A34" s="2" t="s">
        <v>233</v>
      </c>
      <c r="B34">
        <f>0.2666/B33</f>
        <v>0.2710270818235123</v>
      </c>
    </row>
  </sheetData>
  <printOptions/>
  <pageMargins left="0.75" right="0.75" top="1" bottom="1" header="0.5" footer="0.5"/>
  <pageSetup horizontalDpi="360" verticalDpi="36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B16" sqref="B16"/>
    </sheetView>
  </sheetViews>
  <sheetFormatPr defaultColWidth="9.140625" defaultRowHeight="12.75"/>
  <cols>
    <col min="1" max="1" width="17.57421875" style="0" customWidth="1"/>
    <col min="3" max="3" width="10.57421875" style="0" bestFit="1" customWidth="1"/>
    <col min="4" max="4" width="12.28125" style="0" customWidth="1"/>
    <col min="5" max="5" width="10.140625" style="0" customWidth="1"/>
    <col min="7" max="7" width="19.421875" style="0" customWidth="1"/>
    <col min="12" max="12" width="17.140625" style="0" customWidth="1"/>
    <col min="13" max="13" width="16.57421875" style="0" customWidth="1"/>
  </cols>
  <sheetData>
    <row r="1" ht="18">
      <c r="A1" s="1" t="s">
        <v>188</v>
      </c>
    </row>
    <row r="2" spans="1:13" ht="12.75">
      <c r="A2" s="52" t="s">
        <v>218</v>
      </c>
      <c r="K2" s="15"/>
      <c r="L2" s="31"/>
      <c r="M2" s="39"/>
    </row>
    <row r="3" spans="4:11" ht="12.75">
      <c r="D3" s="35"/>
      <c r="K3" s="15"/>
    </row>
    <row r="4" spans="1:6" ht="12.75">
      <c r="A4" s="56" t="s">
        <v>15</v>
      </c>
      <c r="D4" s="53" t="s">
        <v>189</v>
      </c>
      <c r="E4" s="11" t="s">
        <v>237</v>
      </c>
      <c r="F4" s="11" t="s">
        <v>246</v>
      </c>
    </row>
    <row r="5" spans="1:8" ht="12.75">
      <c r="A5" s="2" t="s">
        <v>11</v>
      </c>
      <c r="B5" s="3">
        <v>-1.9167</v>
      </c>
      <c r="D5" s="2" t="s">
        <v>190</v>
      </c>
      <c r="E5" s="17">
        <f>E32*57.29577951/15</f>
        <v>12.372519500637598</v>
      </c>
      <c r="F5" s="54">
        <f>E5/24</f>
        <v>0.5155216458598999</v>
      </c>
      <c r="H5" s="2"/>
    </row>
    <row r="6" spans="1:8" ht="12.75">
      <c r="A6" s="2" t="s">
        <v>12</v>
      </c>
      <c r="B6" s="3">
        <v>67.4</v>
      </c>
      <c r="D6" s="2" t="s">
        <v>191</v>
      </c>
      <c r="E6" s="17">
        <f>E5+B7+B8</f>
        <v>12.372519500637598</v>
      </c>
      <c r="F6" s="54">
        <f>E6/24</f>
        <v>0.5155216458598999</v>
      </c>
      <c r="H6" s="2"/>
    </row>
    <row r="7" spans="1:5" ht="12.75">
      <c r="A7" s="2" t="s">
        <v>195</v>
      </c>
      <c r="B7">
        <v>0</v>
      </c>
      <c r="D7" s="2" t="s">
        <v>192</v>
      </c>
      <c r="E7" s="3">
        <f>367*B10-INT(7*(B10+INT((B11+9)/12))/4)+INT(275*B11/9)+B12-730531.5+(-B7+B8)/24</f>
        <v>1088.5</v>
      </c>
    </row>
    <row r="8" spans="1:5" ht="12.75">
      <c r="A8" s="2" t="s">
        <v>9</v>
      </c>
      <c r="B8">
        <v>0</v>
      </c>
      <c r="D8" s="2" t="s">
        <v>193</v>
      </c>
      <c r="E8" s="55">
        <f>E7/36525</f>
        <v>0.029801505817932922</v>
      </c>
    </row>
    <row r="9" ht="12.75">
      <c r="A9" s="7" t="s">
        <v>216</v>
      </c>
    </row>
    <row r="10" spans="1:2" ht="12.75">
      <c r="A10" s="2" t="s">
        <v>3</v>
      </c>
      <c r="B10">
        <v>2002</v>
      </c>
    </row>
    <row r="11" spans="1:2" ht="12.75">
      <c r="A11" s="2" t="s">
        <v>5</v>
      </c>
      <c r="B11">
        <v>12</v>
      </c>
    </row>
    <row r="12" spans="1:2" ht="12.75">
      <c r="A12" s="2" t="s">
        <v>4</v>
      </c>
      <c r="B12">
        <v>25</v>
      </c>
    </row>
    <row r="13" spans="1:4" ht="12.75">
      <c r="A13" s="7" t="s">
        <v>217</v>
      </c>
      <c r="D13" s="53" t="s">
        <v>194</v>
      </c>
    </row>
    <row r="14" spans="1:4" ht="12.75">
      <c r="A14" s="2" t="s">
        <v>197</v>
      </c>
      <c r="B14">
        <v>-0.833</v>
      </c>
      <c r="D14" t="s">
        <v>196</v>
      </c>
    </row>
    <row r="15" spans="1:4" ht="12.75">
      <c r="A15" s="2" t="s">
        <v>199</v>
      </c>
      <c r="B15">
        <v>-1</v>
      </c>
      <c r="D15" t="s">
        <v>198</v>
      </c>
    </row>
    <row r="16" ht="12.75">
      <c r="D16" t="s">
        <v>200</v>
      </c>
    </row>
    <row r="20" ht="12.75">
      <c r="A20" s="53" t="s">
        <v>201</v>
      </c>
    </row>
    <row r="21" spans="1:5" ht="12.75">
      <c r="A21" s="53"/>
      <c r="B21" t="s">
        <v>248</v>
      </c>
      <c r="C21" t="s">
        <v>249</v>
      </c>
      <c r="D21" t="s">
        <v>250</v>
      </c>
      <c r="E21" t="s">
        <v>251</v>
      </c>
    </row>
    <row r="22" spans="1:7" ht="12.75">
      <c r="A22" s="2" t="s">
        <v>47</v>
      </c>
      <c r="B22" s="9">
        <f>MOD(4.8949504201433+628.331969753199*$E$8,6.28318530718)</f>
        <v>4.770633350796514</v>
      </c>
      <c r="C22" s="9">
        <f>MOD(4.8949504201433+628.331969753199*B33,6.28318530718)</f>
        <v>4.779468591808557</v>
      </c>
      <c r="D22" s="9">
        <f>MOD(4.8949504201433+628.331969753199*C33,6.28318530718)</f>
        <v>4.779501639699793</v>
      </c>
      <c r="E22" s="9">
        <f>MOD(4.8949504201433+628.331969753199*D33,6.28318530718)</f>
        <v>4.77950176187697</v>
      </c>
      <c r="G22" t="s">
        <v>202</v>
      </c>
    </row>
    <row r="23" spans="1:7" ht="12.75">
      <c r="A23" s="2" t="s">
        <v>203</v>
      </c>
      <c r="B23" s="9">
        <f>MOD(6.2400408+628.3019501*$E$8,6.28318530718)</f>
        <v>6.1148290997837496</v>
      </c>
      <c r="C23" s="9">
        <f>MOD(6.2400408+628.3019501*B33,2*PI())</f>
        <v>6.123663918678023</v>
      </c>
      <c r="D23" s="9">
        <f>MOD(6.2400408+628.3019501*C33,2*PI())</f>
        <v>6.123696964990341</v>
      </c>
      <c r="E23" s="9">
        <f>MOD(6.2400408+628.3019501*D33,2*PI())</f>
        <v>6.123697087161677</v>
      </c>
      <c r="G23" t="s">
        <v>204</v>
      </c>
    </row>
    <row r="24" spans="1:7" ht="12.75">
      <c r="A24" s="2" t="s">
        <v>205</v>
      </c>
      <c r="B24" s="9">
        <f>0.033423*SIN(B23)+0.00034907*SIN(2*B23)</f>
        <v>-0.005715753346715345</v>
      </c>
      <c r="C24" s="9">
        <f>0.033423*SIN(C23)+0.00034907*SIN(2*C23)</f>
        <v>-0.005418588022316074</v>
      </c>
      <c r="D24" s="9">
        <f>0.033423*SIN(D23)+0.00034907*SIN(2*D23)</f>
        <v>-0.005417475629037697</v>
      </c>
      <c r="E24" s="9">
        <f>0.033423*SIN(E23)+0.00034907*SIN(2*E23)</f>
        <v>-0.0054174715165377415</v>
      </c>
      <c r="G24" t="s">
        <v>206</v>
      </c>
    </row>
    <row r="25" spans="1:5" ht="12.75">
      <c r="A25" s="2" t="s">
        <v>207</v>
      </c>
      <c r="B25" s="9">
        <f>B22+B24</f>
        <v>4.764917597449799</v>
      </c>
      <c r="C25" s="9">
        <f>C22+C24</f>
        <v>4.7740500037862414</v>
      </c>
      <c r="D25" s="9">
        <f>D22+D24</f>
        <v>4.774084164070755</v>
      </c>
      <c r="E25" s="9">
        <f>E22+E24</f>
        <v>4.774084290360433</v>
      </c>
    </row>
    <row r="26" spans="1:5" ht="12.75">
      <c r="A26" s="2" t="s">
        <v>208</v>
      </c>
      <c r="B26" s="9">
        <f>0.0430398*SIN(2*B25)-0.00092502*SIN(4*B25)-B24</f>
        <v>0.0010094908558304144</v>
      </c>
      <c r="C26" s="9">
        <f>0.0430398*SIN(2*C25)-0.00092502*SIN(4*C25)-C24</f>
        <v>-0.00010156930349261573</v>
      </c>
      <c r="D26" s="9">
        <f>0.0430398*SIN(2*D25)-0.00092502*SIN(4*D25)-D24</f>
        <v>-0.00010572242488270621</v>
      </c>
      <c r="E26" s="9">
        <f>0.0430398*SIN(2*E25)-0.00092502*SIN(4*E25)-E24</f>
        <v>-0.0001057377788211784</v>
      </c>
    </row>
    <row r="27" spans="1:5" ht="12.75">
      <c r="A27" s="2" t="s">
        <v>209</v>
      </c>
      <c r="B27" s="9">
        <f>0.409093-0.0002269*$E$8</f>
        <v>0.4090862380383299</v>
      </c>
      <c r="C27" s="9">
        <f>0.409093-0.0002269*B33</f>
        <v>0.4090862348477932</v>
      </c>
      <c r="D27" s="9">
        <f>0.409093-0.0002269*C33</f>
        <v>0.40908623483585915</v>
      </c>
      <c r="E27" s="9">
        <f>0.409093-0.0002269*D33</f>
        <v>0.409086234835815</v>
      </c>
    </row>
    <row r="28" spans="1:5" ht="12.75">
      <c r="A28" s="2" t="s">
        <v>210</v>
      </c>
      <c r="B28" s="9">
        <f>ASIN(SIN(B27)*SIN(B25))</f>
        <v>-0.40848832192442874</v>
      </c>
      <c r="C28" s="9">
        <f>ASIN(SIN(C27)*SIN(C25))</f>
        <v>-0.4082624556959759</v>
      </c>
      <c r="D28" s="9">
        <f>ASIN(SIN(D27)*SIN(D25))</f>
        <v>-0.40826154313438023</v>
      </c>
      <c r="E28" s="9">
        <f>ASIN(SIN(E27)*SIN(E25))</f>
        <v>-0.408261539759728</v>
      </c>
    </row>
    <row r="29" spans="1:5" ht="12.75">
      <c r="A29" s="2" t="s">
        <v>211</v>
      </c>
      <c r="B29" s="9">
        <f>3.14159265358979-3.14159265358979+B26</f>
        <v>0.0010094908558304144</v>
      </c>
      <c r="C29" s="9">
        <f>B32-3.14159265358979+C26</f>
        <v>0.08530853475269903</v>
      </c>
      <c r="D29" s="9">
        <f>C32-3.14159265358979+D26</f>
        <v>0.09737486573119226</v>
      </c>
      <c r="E29" s="9">
        <f>D32-3.14159265358979+E26</f>
        <v>0.097419474636935</v>
      </c>
    </row>
    <row r="30" spans="1:5" ht="12.75">
      <c r="A30" s="2" t="s">
        <v>212</v>
      </c>
      <c r="B30" s="9">
        <f>(SIN(0.017453293*$B$14)-SIN(0.017453293*$B$6)*SIN(B28))/(COS(0.017453293*$B$6)*COS(B28))</f>
        <v>0.9985975833535915</v>
      </c>
      <c r="C30" s="9">
        <f>(SIN(0.017453293*$B$14)-SIN(0.017453293*$B$6)*SIN(C28))/(COS(0.017453293*$B$6)*COS(C28))</f>
        <v>0.997957410326472</v>
      </c>
      <c r="D30" s="9">
        <f>(SIN(0.017453293*$B$14)-SIN(0.017453293*$B$6)*SIN(D28))/(COS(0.017453293*$B$6)*COS(D28))</f>
        <v>0.9979548241011273</v>
      </c>
      <c r="E30" s="9">
        <f>(SIN(0.017453293*$B$14)-SIN(0.017453293*$B$6)*SIN(E28))/(COS(0.017453293*$B$6)*COS(E28))</f>
        <v>0.9979548145372714</v>
      </c>
    </row>
    <row r="31" spans="1:7" ht="12.75">
      <c r="A31" s="2" t="s">
        <v>213</v>
      </c>
      <c r="B31" s="9">
        <f>ACOS(B30)</f>
        <v>0.05296686821892216</v>
      </c>
      <c r="C31" s="9">
        <f>ACOS(C30)</f>
        <v>0.06392629215948253</v>
      </c>
      <c r="D31" s="9">
        <f>ACOS(D30)</f>
        <v>0.0639667632977734</v>
      </c>
      <c r="E31" s="9">
        <f>ACOS(E30)</f>
        <v>0.06396691291250334</v>
      </c>
      <c r="G31" s="36"/>
    </row>
    <row r="32" spans="1:5" ht="12.75">
      <c r="A32" s="2" t="s">
        <v>214</v>
      </c>
      <c r="B32" s="9">
        <f>3.14159265358979-(B29+0.017453293*$B$5+$B$15*B31)</f>
        <v>3.2270027576459817</v>
      </c>
      <c r="C32" s="9">
        <f>B32-(C29+0.017453293*$B$5+$B$15*C31)</f>
        <v>3.239073241745865</v>
      </c>
      <c r="D32" s="9">
        <f>C32-(D29+0.017453293*$B$5+$B$15*D31)</f>
        <v>3.239117866005546</v>
      </c>
      <c r="E32" s="9">
        <f>D32-(E29+0.017453293*$B$5+$B$15*E31)</f>
        <v>3.2391180309742147</v>
      </c>
    </row>
    <row r="33" spans="1:5" ht="12.75">
      <c r="A33" s="2" t="s">
        <v>215</v>
      </c>
      <c r="B33" s="9">
        <f>($E$7+B32/(6.28318530718))/36525</f>
        <v>0.029815567239979482</v>
      </c>
      <c r="C33" s="9">
        <f>($E$7+C32/(2*PI()))/36525</f>
        <v>0.029815619836206998</v>
      </c>
      <c r="D33" s="9">
        <f>($E$7+D32/(2*PI()))/36525</f>
        <v>0.029815620030653852</v>
      </c>
      <c r="E33" s="9">
        <f>($E$7+E32/(2*PI()))/36525</f>
        <v>0.029815620031372697</v>
      </c>
    </row>
    <row r="35" spans="1:5" ht="12.75">
      <c r="A35" s="2" t="s">
        <v>219</v>
      </c>
      <c r="C35" s="9">
        <f>(B33-C33)*36525*24*3600</f>
        <v>-165.98107094482256</v>
      </c>
      <c r="D35" s="9">
        <f>(C33-D33)*36525*24*3600</f>
        <v>-0.6136276054030665</v>
      </c>
      <c r="E35" s="9">
        <f>(D33-E33)*36525*24*3600</f>
        <v>-0.002268502683200335</v>
      </c>
    </row>
  </sheetData>
  <printOptions/>
  <pageMargins left="0.75" right="0.75" top="1" bottom="1" header="0.5" footer="0.5"/>
  <pageSetup horizontalDpi="360" verticalDpi="360" orientation="portrait" paperSize="9" r:id="rId3"/>
  <headerFooter alignWithMargins="0">
    <oddHeader>&amp;C&amp;A</oddHeader>
    <oddFooter>&amp;CPage 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83"/>
  <sheetViews>
    <sheetView showGridLines="0" tabSelected="1" workbookViewId="0" topLeftCell="A1">
      <selection activeCell="B14" sqref="B14"/>
    </sheetView>
  </sheetViews>
  <sheetFormatPr defaultColWidth="9.140625" defaultRowHeight="12.75"/>
  <cols>
    <col min="1" max="1" width="7.8515625" style="0" customWidth="1"/>
    <col min="2" max="2" width="7.57421875" style="0" customWidth="1"/>
    <col min="3" max="3" width="9.00390625" style="0" customWidth="1"/>
    <col min="4" max="4" width="8.28125" style="0" customWidth="1"/>
    <col min="5" max="7" width="8.57421875" style="0" bestFit="1" customWidth="1"/>
    <col min="8" max="8" width="10.00390625" style="0" bestFit="1" customWidth="1"/>
    <col min="9" max="9" width="8.140625" style="0" bestFit="1" customWidth="1"/>
    <col min="10" max="10" width="8.57421875" style="0" bestFit="1" customWidth="1"/>
    <col min="11" max="11" width="8.421875" style="0" bestFit="1" customWidth="1"/>
    <col min="12" max="12" width="6.00390625" style="0" bestFit="1" customWidth="1"/>
    <col min="13" max="13" width="8.8515625" style="0" customWidth="1"/>
    <col min="14" max="14" width="8.57421875" style="0" bestFit="1" customWidth="1"/>
    <col min="15" max="15" width="7.140625" style="0" bestFit="1" customWidth="1"/>
    <col min="16" max="16" width="4.57421875" style="0" bestFit="1" customWidth="1"/>
    <col min="17" max="17" width="5.57421875" style="0" bestFit="1" customWidth="1"/>
    <col min="18" max="20" width="6.140625" style="0" bestFit="1" customWidth="1"/>
    <col min="21" max="21" width="7.140625" style="0" bestFit="1" customWidth="1"/>
    <col min="32" max="32" width="10.00390625" style="0" bestFit="1" customWidth="1"/>
  </cols>
  <sheetData>
    <row r="1" spans="1:46" ht="18">
      <c r="A1" s="71" t="s">
        <v>281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</row>
    <row r="2" spans="1:46" ht="12.75">
      <c r="A2" s="73" t="s">
        <v>282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</row>
    <row r="3" spans="3:28" ht="12.75"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42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</row>
    <row r="4" spans="1:28" ht="12.75">
      <c r="A4" s="100" t="s">
        <v>283</v>
      </c>
      <c r="B4" s="101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5"/>
      <c r="P4" s="75"/>
      <c r="Q4" s="75"/>
      <c r="R4" s="75"/>
      <c r="S4" s="75"/>
      <c r="T4" s="75"/>
      <c r="U4" s="74"/>
      <c r="V4" s="74"/>
      <c r="W4" s="74"/>
      <c r="X4" s="74"/>
      <c r="Y4" s="74"/>
      <c r="Z4" s="74"/>
      <c r="AA4" s="74"/>
      <c r="AB4" s="74"/>
    </row>
    <row r="5" spans="1:28" ht="12.75">
      <c r="A5" s="76" t="s">
        <v>87</v>
      </c>
      <c r="B5" s="77">
        <v>75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5"/>
      <c r="P5" s="75"/>
      <c r="Q5" s="75"/>
      <c r="R5" s="75"/>
      <c r="S5" s="75"/>
      <c r="T5" s="75"/>
      <c r="U5" s="74"/>
      <c r="V5" s="74"/>
      <c r="W5" s="74"/>
      <c r="X5" s="74"/>
      <c r="Y5" s="74"/>
      <c r="Z5" s="74"/>
      <c r="AA5" s="74"/>
      <c r="AB5" s="74"/>
    </row>
    <row r="6" spans="1:28" ht="12.75">
      <c r="A6" s="76" t="s">
        <v>88</v>
      </c>
      <c r="B6" s="78">
        <v>-1.91667</v>
      </c>
      <c r="C6" s="42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5"/>
      <c r="P6" s="75"/>
      <c r="Q6" s="75"/>
      <c r="R6" s="75"/>
      <c r="S6" s="75"/>
      <c r="T6" s="75"/>
      <c r="U6" s="74"/>
      <c r="V6" s="74"/>
      <c r="W6" s="74"/>
      <c r="X6" s="74"/>
      <c r="Y6" s="74"/>
      <c r="Z6" s="74"/>
      <c r="AA6" s="74"/>
      <c r="AB6" s="74"/>
    </row>
    <row r="7" spans="1:28" ht="12.75">
      <c r="A7" s="76" t="s">
        <v>284</v>
      </c>
      <c r="B7" s="77">
        <v>0</v>
      </c>
      <c r="C7" s="79"/>
      <c r="D7" s="80"/>
      <c r="E7" s="74"/>
      <c r="F7" s="74"/>
      <c r="G7" s="74"/>
      <c r="H7" s="74"/>
      <c r="I7" s="74"/>
      <c r="J7" s="74"/>
      <c r="K7" s="74"/>
      <c r="L7" s="74"/>
      <c r="M7" s="74"/>
      <c r="N7" s="74"/>
      <c r="O7" s="75"/>
      <c r="P7" s="75"/>
      <c r="Q7" s="75"/>
      <c r="R7" s="75"/>
      <c r="S7" s="75"/>
      <c r="T7" s="75"/>
      <c r="U7" s="74"/>
      <c r="V7" s="74"/>
      <c r="W7" s="74"/>
      <c r="X7" s="74"/>
      <c r="Y7" s="74"/>
      <c r="Z7" s="74"/>
      <c r="AA7" s="74"/>
      <c r="AB7" s="74"/>
    </row>
    <row r="8" spans="1:28" ht="12.75">
      <c r="A8" s="76" t="s">
        <v>9</v>
      </c>
      <c r="B8" s="77">
        <v>0</v>
      </c>
      <c r="C8" s="81"/>
      <c r="D8" s="80"/>
      <c r="E8" s="74"/>
      <c r="F8" s="74"/>
      <c r="G8" s="74"/>
      <c r="H8" s="74"/>
      <c r="I8" s="74"/>
      <c r="J8" s="74"/>
      <c r="K8" s="74"/>
      <c r="L8" s="74"/>
      <c r="M8" s="74"/>
      <c r="N8" s="74"/>
      <c r="O8" s="75"/>
      <c r="P8" s="75"/>
      <c r="Q8" s="75"/>
      <c r="R8" s="75"/>
      <c r="S8" s="75"/>
      <c r="T8" s="75"/>
      <c r="U8" s="74"/>
      <c r="V8" s="74"/>
      <c r="W8" s="74"/>
      <c r="X8" s="74"/>
      <c r="Y8" s="74"/>
      <c r="Z8" s="74"/>
      <c r="AA8" s="74"/>
      <c r="AB8" s="74"/>
    </row>
    <row r="9" spans="3:28" ht="12.75">
      <c r="C9" s="81"/>
      <c r="D9" s="80"/>
      <c r="E9" s="74"/>
      <c r="F9" s="74"/>
      <c r="G9" s="74"/>
      <c r="H9" s="74"/>
      <c r="I9" s="74"/>
      <c r="J9" s="74"/>
      <c r="K9" s="74"/>
      <c r="L9" s="74"/>
      <c r="M9" s="74"/>
      <c r="N9" s="74"/>
      <c r="O9" s="75"/>
      <c r="P9" s="75"/>
      <c r="Q9" s="75"/>
      <c r="R9" s="75"/>
      <c r="S9" s="75"/>
      <c r="T9" s="75"/>
      <c r="U9" s="74"/>
      <c r="V9" s="74"/>
      <c r="W9" s="74"/>
      <c r="X9" s="74"/>
      <c r="Y9" s="74"/>
      <c r="Z9" s="74"/>
      <c r="AA9" s="74"/>
      <c r="AB9" s="74"/>
    </row>
    <row r="10" spans="1:28" ht="12.75">
      <c r="A10" s="103" t="s">
        <v>285</v>
      </c>
      <c r="B10" s="103"/>
      <c r="C10" s="81"/>
      <c r="D10" s="80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5"/>
      <c r="P10" s="75"/>
      <c r="Q10" s="75"/>
      <c r="R10" s="75"/>
      <c r="S10" s="75"/>
      <c r="T10" s="75"/>
      <c r="U10" s="74"/>
      <c r="V10" s="74"/>
      <c r="W10" s="74"/>
      <c r="X10" s="74"/>
      <c r="Y10" s="74"/>
      <c r="Z10" s="74"/>
      <c r="AA10" s="74"/>
      <c r="AB10" s="74"/>
    </row>
    <row r="11" spans="1:42" ht="12.75">
      <c r="A11" s="76" t="s">
        <v>3</v>
      </c>
      <c r="B11" s="77">
        <v>2003</v>
      </c>
      <c r="C11" s="81"/>
      <c r="D11" s="80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5"/>
      <c r="P11" s="75"/>
      <c r="Q11" s="75"/>
      <c r="R11" s="75"/>
      <c r="S11" s="75"/>
      <c r="T11" s="75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</row>
    <row r="12" spans="1:42" ht="12.75">
      <c r="A12" s="76" t="s">
        <v>5</v>
      </c>
      <c r="B12" s="77">
        <v>1</v>
      </c>
      <c r="C12" s="81"/>
      <c r="D12" s="80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5"/>
      <c r="P12" s="75"/>
      <c r="Q12" s="75"/>
      <c r="R12" s="75"/>
      <c r="S12" s="75"/>
      <c r="T12" s="75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</row>
    <row r="13" spans="1:42" ht="12.75">
      <c r="A13" s="76" t="s">
        <v>4</v>
      </c>
      <c r="B13" s="77">
        <v>7</v>
      </c>
      <c r="C13" s="81"/>
      <c r="D13" s="80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5"/>
      <c r="P13" s="75"/>
      <c r="Q13" s="75"/>
      <c r="R13" s="75"/>
      <c r="S13" s="75"/>
      <c r="T13" s="75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</row>
    <row r="14" spans="3:42" ht="12.75">
      <c r="C14" s="81"/>
      <c r="D14" s="80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5"/>
      <c r="P14" s="75"/>
      <c r="Q14" s="75"/>
      <c r="R14" s="75"/>
      <c r="S14" s="75"/>
      <c r="T14" s="75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</row>
    <row r="15" spans="3:42" ht="12.75">
      <c r="C15" s="82"/>
      <c r="D15" s="80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5"/>
      <c r="P15" s="75"/>
      <c r="Q15" s="75"/>
      <c r="R15" s="75"/>
      <c r="S15" s="75"/>
      <c r="T15" s="75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</row>
    <row r="16" spans="1:42" ht="12.75">
      <c r="A16" s="80"/>
      <c r="B16" s="41"/>
      <c r="C16" s="81"/>
      <c r="D16" s="80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5"/>
      <c r="P16" s="75"/>
      <c r="Q16" s="75"/>
      <c r="R16" s="75"/>
      <c r="S16" s="75"/>
      <c r="T16" s="75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</row>
    <row r="17" spans="1:42" ht="12.75">
      <c r="A17" s="80"/>
      <c r="B17" s="41"/>
      <c r="C17" s="81"/>
      <c r="D17" s="80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5"/>
      <c r="P17" s="75"/>
      <c r="Q17" s="75"/>
      <c r="R17" s="75"/>
      <c r="S17" s="75"/>
      <c r="T17" s="75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</row>
    <row r="18" spans="1:42" ht="12.75">
      <c r="A18" s="102" t="s">
        <v>286</v>
      </c>
      <c r="B18" s="102"/>
      <c r="C18" s="81"/>
      <c r="D18" s="80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5"/>
      <c r="P18" s="75"/>
      <c r="Q18" s="75"/>
      <c r="R18" s="75"/>
      <c r="S18" s="75"/>
      <c r="T18" s="75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</row>
    <row r="19" spans="1:42" ht="12.75">
      <c r="A19" s="83" t="s">
        <v>287</v>
      </c>
      <c r="B19" s="84">
        <f>H55*100</f>
        <v>22.53458520050502</v>
      </c>
      <c r="C19" s="81"/>
      <c r="D19" s="80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5"/>
      <c r="P19" s="75"/>
      <c r="Q19" s="75"/>
      <c r="R19" s="75"/>
      <c r="S19" s="75"/>
      <c r="T19" s="75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</row>
    <row r="20" spans="3:42" ht="12.75">
      <c r="C20" s="80"/>
      <c r="D20" s="80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5"/>
      <c r="P20" s="75"/>
      <c r="Q20" s="75"/>
      <c r="R20" s="75"/>
      <c r="S20" s="75"/>
      <c r="T20" s="75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</row>
    <row r="21" spans="1:42" ht="12.75">
      <c r="A21" s="80"/>
      <c r="B21" s="80"/>
      <c r="C21" s="80"/>
      <c r="D21" s="80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5"/>
      <c r="P21" s="75"/>
      <c r="Q21" s="75"/>
      <c r="R21" s="75"/>
      <c r="S21" s="75"/>
      <c r="T21" s="75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</row>
    <row r="22" spans="1:42" ht="12.75">
      <c r="A22" s="85" t="s">
        <v>288</v>
      </c>
      <c r="B22" s="86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5"/>
      <c r="P22" s="75"/>
      <c r="Q22" s="75"/>
      <c r="R22" s="75"/>
      <c r="S22" s="75"/>
      <c r="T22" s="75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</row>
    <row r="23" spans="1:42" ht="12.75">
      <c r="A23" s="87" t="s">
        <v>289</v>
      </c>
      <c r="B23" s="88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5"/>
      <c r="P23" s="75"/>
      <c r="Q23" s="75"/>
      <c r="R23" s="75"/>
      <c r="S23" s="75"/>
      <c r="T23" s="75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</row>
    <row r="24" spans="1:42" ht="12.75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5"/>
      <c r="P24" s="75"/>
      <c r="Q24" s="75"/>
      <c r="R24" s="75"/>
      <c r="S24" s="75"/>
      <c r="T24" s="75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</row>
    <row r="25" spans="1:42" ht="12.75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</row>
    <row r="26" spans="1:42" ht="12.75">
      <c r="A26" s="74" t="s">
        <v>290</v>
      </c>
      <c r="B26" s="74"/>
      <c r="C26" s="74" t="s">
        <v>291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</row>
    <row r="27" spans="1:42" ht="12.75">
      <c r="A27" s="74"/>
      <c r="B27" s="74"/>
      <c r="C27" s="74" t="s">
        <v>292</v>
      </c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</row>
    <row r="28" spans="1:42" ht="12.7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</row>
    <row r="29" spans="1:42" ht="12.75">
      <c r="A29" s="74" t="s">
        <v>293</v>
      </c>
      <c r="B29" s="74"/>
      <c r="C29" t="s">
        <v>294</v>
      </c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</row>
    <row r="30" spans="1:42" ht="12.75">
      <c r="A30" s="74"/>
      <c r="B30" s="74"/>
      <c r="C30" s="74" t="s">
        <v>295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</row>
    <row r="31" spans="1:42" ht="12.75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</row>
    <row r="32" spans="1:42" ht="12.75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</row>
    <row r="33" spans="1:42" ht="12.75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</row>
    <row r="34" spans="1:42" ht="12.75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</row>
    <row r="35" spans="1:42" ht="12.75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</row>
    <row r="36" spans="1:42" ht="12.75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</row>
    <row r="37" spans="1:42" ht="12.75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</row>
    <row r="38" spans="1:42" ht="12.75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</row>
    <row r="39" spans="1:42" ht="12.75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</row>
    <row r="40" spans="1:42" ht="12.75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</row>
    <row r="41" spans="1:42" ht="12.75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</row>
    <row r="42" spans="1:42" ht="12.75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</row>
    <row r="43" spans="1:42" ht="12.75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</row>
    <row r="47" spans="3:7" ht="12.75">
      <c r="C47" t="s">
        <v>296</v>
      </c>
      <c r="G47" t="s">
        <v>297</v>
      </c>
    </row>
    <row r="49" spans="3:8" ht="12.75">
      <c r="C49" s="2" t="s">
        <v>298</v>
      </c>
      <c r="D49" s="42">
        <f>367*B11-INT(7*(B11+INT((B12+9)/12))/4)+INT(275*B12/9)+B13-730531.5+(-B7-B8)/24</f>
        <v>1101.5</v>
      </c>
      <c r="E49" s="2"/>
      <c r="G49" s="2" t="s">
        <v>299</v>
      </c>
      <c r="H49">
        <f>DEGREES(MOD(ACOS(COS(RADIANS(O71))*COS(RADIANS(G71-N71))),360))</f>
        <v>56.551444650758945</v>
      </c>
    </row>
    <row r="50" spans="3:8" ht="12.75">
      <c r="C50" s="2" t="s">
        <v>300</v>
      </c>
      <c r="D50" s="42">
        <f>D49/36525</f>
        <v>0.030157426420260095</v>
      </c>
      <c r="E50" s="2"/>
      <c r="G50" s="2" t="s">
        <v>301</v>
      </c>
      <c r="H50">
        <f>(1.00014-0.01671*COS(RADIANS(MOD(357.528+0.9856003*D71,360))))*1.496*10^8</f>
        <v>147126225.24962163</v>
      </c>
    </row>
    <row r="51" spans="3:8" ht="12.75">
      <c r="C51" s="2" t="s">
        <v>302</v>
      </c>
      <c r="D51" s="42">
        <f>MOD(280.46061837+360.98564736629*D49+B6,360)</f>
        <v>104.23452233837452</v>
      </c>
      <c r="E51" s="2"/>
      <c r="G51" s="2" t="s">
        <v>303</v>
      </c>
      <c r="H51">
        <f>Q71*6378</f>
        <v>396361.66409150575</v>
      </c>
    </row>
    <row r="52" spans="3:8" ht="12.75">
      <c r="C52" s="2" t="s">
        <v>304</v>
      </c>
      <c r="D52">
        <f>23.439-0.0000004*$D$49</f>
        <v>23.4385594</v>
      </c>
      <c r="E52" s="2"/>
      <c r="G52" s="2" t="s">
        <v>305</v>
      </c>
      <c r="H52">
        <f>H50*SIN(RADIANS(H49))</f>
        <v>122759335.51874126</v>
      </c>
    </row>
    <row r="53" spans="3:8" ht="12.75">
      <c r="C53" s="2" t="s">
        <v>306</v>
      </c>
      <c r="D53">
        <f>180/PI()</f>
        <v>57.29577951308232</v>
      </c>
      <c r="E53" s="2"/>
      <c r="G53" s="2" t="s">
        <v>307</v>
      </c>
      <c r="H53">
        <f>H51-H50*COS(RADIANS(H49))</f>
        <v>-80697853.29110433</v>
      </c>
    </row>
    <row r="54" spans="3:8" ht="12.75">
      <c r="C54" s="2" t="s">
        <v>308</v>
      </c>
      <c r="D54">
        <f>TAN(RADIANS(D52/2))^2</f>
        <v>0.04303176604536018</v>
      </c>
      <c r="E54" s="2"/>
      <c r="G54" s="2" t="s">
        <v>49</v>
      </c>
      <c r="H54">
        <f>DEGREES(ATAN2(H53,H52))</f>
        <v>123.31957211730013</v>
      </c>
    </row>
    <row r="55" spans="3:8" ht="12.75">
      <c r="C55" s="2"/>
      <c r="E55" s="2"/>
      <c r="G55" s="2" t="s">
        <v>309</v>
      </c>
      <c r="H55">
        <f>(1+COS(RADIANS(H54)))/2</f>
        <v>0.2253458520050502</v>
      </c>
    </row>
    <row r="57" spans="5:31" ht="12.75">
      <c r="E57" t="s">
        <v>310</v>
      </c>
      <c r="M57" t="s">
        <v>311</v>
      </c>
      <c r="X57" t="s">
        <v>312</v>
      </c>
      <c r="AE57" t="s">
        <v>313</v>
      </c>
    </row>
    <row r="58" spans="3:33" ht="12.75">
      <c r="C58" s="11" t="s">
        <v>314</v>
      </c>
      <c r="D58" s="11" t="s">
        <v>315</v>
      </c>
      <c r="E58" s="11" t="s">
        <v>316</v>
      </c>
      <c r="F58" s="11" t="s">
        <v>317</v>
      </c>
      <c r="G58" s="11" t="s">
        <v>207</v>
      </c>
      <c r="H58" s="11" t="s">
        <v>318</v>
      </c>
      <c r="I58" s="11" t="s">
        <v>319</v>
      </c>
      <c r="J58" s="11" t="s">
        <v>320</v>
      </c>
      <c r="K58" s="11" t="s">
        <v>321</v>
      </c>
      <c r="L58" s="11" t="s">
        <v>322</v>
      </c>
      <c r="M58" s="11" t="s">
        <v>323</v>
      </c>
      <c r="N58" s="11" t="s">
        <v>207</v>
      </c>
      <c r="O58" s="11" t="s">
        <v>324</v>
      </c>
      <c r="P58" s="11" t="s">
        <v>325</v>
      </c>
      <c r="Q58" s="11" t="s">
        <v>266</v>
      </c>
      <c r="R58" s="11" t="s">
        <v>326</v>
      </c>
      <c r="S58" s="11" t="s">
        <v>257</v>
      </c>
      <c r="T58" s="11" t="s">
        <v>262</v>
      </c>
      <c r="U58" s="11" t="s">
        <v>164</v>
      </c>
      <c r="V58" s="11" t="s">
        <v>327</v>
      </c>
      <c r="W58" s="11" t="s">
        <v>328</v>
      </c>
      <c r="X58" s="11" t="s">
        <v>329</v>
      </c>
      <c r="Y58" s="11" t="s">
        <v>330</v>
      </c>
      <c r="Z58" s="11" t="s">
        <v>331</v>
      </c>
      <c r="AA58" s="11" t="s">
        <v>332</v>
      </c>
      <c r="AB58" s="11" t="s">
        <v>33</v>
      </c>
      <c r="AC58" s="11" t="s">
        <v>333</v>
      </c>
      <c r="AD58" s="11" t="s">
        <v>334</v>
      </c>
      <c r="AE58" s="11" t="s">
        <v>335</v>
      </c>
      <c r="AF58" s="11" t="s">
        <v>336</v>
      </c>
      <c r="AG58" s="11" t="s">
        <v>337</v>
      </c>
    </row>
    <row r="59" spans="3:33" ht="14.25" customHeight="1">
      <c r="C59" s="11">
        <v>0</v>
      </c>
      <c r="D59" s="70">
        <f aca="true" t="shared" si="0" ref="D59:D83">$D$49+C59/24</f>
        <v>1101.5</v>
      </c>
      <c r="E59" s="70">
        <f aca="true" t="shared" si="1" ref="E59:E83">MOD(280.461+0.9856474*D59,360)</f>
        <v>286.15161109999985</v>
      </c>
      <c r="F59" s="70">
        <f aca="true" t="shared" si="2" ref="F59:F83">MOD(357.528+0.9856003*D59,360)</f>
        <v>3.166730449999932</v>
      </c>
      <c r="G59" s="70">
        <f aca="true" t="shared" si="3" ref="G59:G83">E59+1.915*SIN(RADIANS(F59))+0.02*SIN(RADIANS(2*F59))</f>
        <v>286.2596053232889</v>
      </c>
      <c r="H59" s="70">
        <f aca="true" t="shared" si="4" ref="H59:H83">G59-$D$53*$D$54*SIN(RADIANS(2*G59))+$D$53/2*$D$54^2*SIN(RADIANS(4*G59))</f>
        <v>287.63312842232375</v>
      </c>
      <c r="I59" s="70">
        <f aca="true" t="shared" si="5" ref="I59:I83">DEGREES(ASIN(SIN(RADIANS($D$52))*SIN(RADIANS(G59))))</f>
        <v>-22.448694206533194</v>
      </c>
      <c r="J59" s="70">
        <f aca="true" t="shared" si="6" ref="J59:J83">MOD(280.46061837+360.98564736629*D59+$B$6-H59,360)</f>
        <v>176.60139391606208</v>
      </c>
      <c r="K59" s="70">
        <f aca="true" t="shared" si="7" ref="K59:K83">SIN(RADIANS(I59))*SIN(RADIANS($B$5))+COS(RADIANS(I59))*COS(RADIANS($B$5))*COS(RADIANS(J59))</f>
        <v>-0.6076300737727308</v>
      </c>
      <c r="L59" s="89">
        <f aca="true" t="shared" si="8" ref="L59:L83">DEGREES(ASIN(K59))</f>
        <v>-37.4183384348844</v>
      </c>
      <c r="M59" s="90">
        <f aca="true" t="shared" si="9" ref="M59:M83">D59/36525</f>
        <v>0.030157426420260095</v>
      </c>
      <c r="N59" s="18">
        <f aca="true" t="shared" si="10" ref="N59:N83">MOD(218.32+481267.883*M59,360)+6.29*SIN(RADIANS(MOD(134.9+477198.85*M59,360)))-1.27*SIN(RADIANS(MOD(259.2-413335.38*M59,360)))+0.66*SIN(RADIANS(MOD(235.7+890534.23*M59,360)))+0.21*SIN(RADIANS(MOD(269.9+954397.7*M59,360)))-0.19*SIN(RADIANS(MOD(357.5+35999.05*M59,360)))-0.11*SIN(RADIANS(MOD(186.6+966404.05*M59,360)))</f>
        <v>336.9306871264289</v>
      </c>
      <c r="O59" s="91">
        <f aca="true" t="shared" si="11" ref="O59:O83">5.13*SIN(RADIANS(MOD(93.3+483202.03*M59,360)))+0.28*SIN(RADIANS(MOD(228.2+960400.87*M59,360)))-0.28*SIN(RADIANS(MOD(318.3+6003.18*M59,360)))-0.17*SIN(RADIANS(MOD(217.6-407332.2*M59,360)))</f>
        <v>-5.169383008750407</v>
      </c>
      <c r="P59" s="70">
        <f aca="true" t="shared" si="12" ref="P59:P83">0.9508+0.0518*COS(RADIANS(MOD(134.9+477198.85*M59,360)))+0.0095*COS(RADIANS(MOD(259.2-413335.38*M59,360)))+0.0078*COS(RADIANS(MOD(235.7+890534.23*M59,360)))+0.0028*COS(RADIANS(MOD(269.9+954397.7*M59,360)))</f>
        <v>0.9271070971796203</v>
      </c>
      <c r="Q59" s="70">
        <f aca="true" t="shared" si="13" ref="Q59:Q83">1/SIN(RADIANS(P59))</f>
        <v>61.80330193579343</v>
      </c>
      <c r="R59" s="92">
        <f aca="true" t="shared" si="14" ref="R59:R83">COS(RADIANS(O59))*COS(RADIANS(N59))</f>
        <v>0.9162894421680176</v>
      </c>
      <c r="S59" s="92">
        <f aca="true" t="shared" si="15" ref="S59:S83">0.9175*COS(RADIANS(O59))*SIN(RADIANS(N59))-0.3978*SIN(RADIANS(O59))</f>
        <v>-0.322213040095217</v>
      </c>
      <c r="T59" s="92">
        <f aca="true" t="shared" si="16" ref="T59:T83">0.3978*COS(RADIANS(O59))*SIN(RADIANS(N59))+0.9175*SIN(RADIANS(O59))</f>
        <v>-0.23790882812081038</v>
      </c>
      <c r="U59" s="92">
        <f aca="true" t="shared" si="17" ref="U59:U83">DEGREES(ATAN(S59/R59))</f>
        <v>-19.37421590318044</v>
      </c>
      <c r="V59" s="92">
        <f aca="true" t="shared" si="18" ref="V59:V83">IF(R59&lt;0,U59+180,IF(S59&lt;0,360+U59,U59))</f>
        <v>340.6257840968196</v>
      </c>
      <c r="W59" s="92">
        <f aca="true" t="shared" si="19" ref="W59:W83">DEGREES(ASIN(T59))</f>
        <v>-13.763150505211051</v>
      </c>
      <c r="X59" s="92">
        <f aca="true" t="shared" si="20" ref="X59:X83">Q59*COS(RADIANS(W59))*COS(RADIANS(V59))-COS(RADIANS($B$5))*COS(RADIANS(MOD(280.46061837+360.98564736629*D59+$B$6,360)))</f>
        <v>56.69310847144013</v>
      </c>
      <c r="Y59" s="92">
        <f aca="true" t="shared" si="21" ref="Y59:Y83">Q59*COS(RADIANS(W59))*SIN(RADIANS(V59))-COS(RADIANS($B$5))*SIN(RADIANS(MOD(280.46061837+360.98564736629*D59+$B$6,360)))</f>
        <v>-20.164615926670315</v>
      </c>
      <c r="Z59" s="92">
        <f aca="true" t="shared" si="22" ref="Z59:Z83">Q59*SIN(RADIANS(W59))-SIN(RADIANS($B$5))</f>
        <v>-15.669476963830293</v>
      </c>
      <c r="AA59" s="92">
        <f aca="true" t="shared" si="23" ref="AA59:AA83">SQRT(X59*X59+Y59*Y59+Z59*Z59)</f>
        <v>62.17919902945527</v>
      </c>
      <c r="AB59" s="92">
        <f aca="true" t="shared" si="24" ref="AB59:AB83">DEGREES(ATAN(Y59/X59))</f>
        <v>-19.579465460069784</v>
      </c>
      <c r="AC59" s="92">
        <f aca="true" t="shared" si="25" ref="AC59:AC83">IF(X59&lt;0,AB59+180,IF(Y59&lt;0,360+AB59,AB59))</f>
        <v>340.4205345399302</v>
      </c>
      <c r="AD59" s="92">
        <f aca="true" t="shared" si="26" ref="AD59:AD83">DEGREES(ASIN(Z59/AA59))</f>
        <v>-14.596197067238235</v>
      </c>
      <c r="AE59" s="92">
        <f aca="true" t="shared" si="27" ref="AE59:AE83">MOD(280.46061837+360.98564736629*D59+$B$6-AC59,360)</f>
        <v>123.81398779846495</v>
      </c>
      <c r="AF59" s="92">
        <f aca="true" t="shared" si="28" ref="AF59:AF83">SIN(RADIANS(AD59))*SIN(RADIANS($B$5))+COS(RADIANS(AD59))*COS(RADIANS($B$5))*COS(RADIANS(AE59))</f>
        <v>-0.38280214702686377</v>
      </c>
      <c r="AG59" s="92">
        <f aca="true" t="shared" si="29" ref="AG59:AG83">DEGREES(ASIN(AF59))</f>
        <v>-22.50736246435623</v>
      </c>
    </row>
    <row r="60" spans="3:33" ht="12.75">
      <c r="C60" s="11">
        <v>1</v>
      </c>
      <c r="D60" s="70">
        <f t="shared" si="0"/>
        <v>1101.5416666666667</v>
      </c>
      <c r="E60" s="70">
        <f t="shared" si="1"/>
        <v>286.1926797416668</v>
      </c>
      <c r="F60" s="70">
        <f t="shared" si="2"/>
        <v>3.2077971291666927</v>
      </c>
      <c r="G60" s="70">
        <f t="shared" si="3"/>
        <v>286.30207290833414</v>
      </c>
      <c r="H60" s="70">
        <f t="shared" si="4"/>
        <v>287.67874257262343</v>
      </c>
      <c r="I60" s="70">
        <f t="shared" si="5"/>
        <v>-22.4435703817026</v>
      </c>
      <c r="J60" s="70">
        <f t="shared" si="6"/>
        <v>191.59684840607224</v>
      </c>
      <c r="K60" s="70">
        <f t="shared" si="7"/>
        <v>-0.6030965117204184</v>
      </c>
      <c r="L60" s="89">
        <f t="shared" si="8"/>
        <v>-37.09199235592323</v>
      </c>
      <c r="M60" s="90">
        <f t="shared" si="9"/>
        <v>0.030158567191421404</v>
      </c>
      <c r="N60" s="18">
        <f t="shared" si="10"/>
        <v>337.4533071933739</v>
      </c>
      <c r="O60" s="91">
        <f t="shared" si="11"/>
        <v>-5.169880667241103</v>
      </c>
      <c r="P60" s="70">
        <f t="shared" si="12"/>
        <v>0.9266663905168507</v>
      </c>
      <c r="Q60" s="70">
        <f t="shared" si="13"/>
        <v>61.83269196289218</v>
      </c>
      <c r="R60" s="92">
        <f t="shared" si="14"/>
        <v>0.9198102006231604</v>
      </c>
      <c r="S60" s="92">
        <f t="shared" si="15"/>
        <v>-0.31452617994544724</v>
      </c>
      <c r="T60" s="92">
        <f t="shared" si="16"/>
        <v>-0.2345854689081772</v>
      </c>
      <c r="U60" s="92">
        <f t="shared" si="17"/>
        <v>-18.877960381330073</v>
      </c>
      <c r="V60" s="92">
        <f t="shared" si="18"/>
        <v>341.12203961866993</v>
      </c>
      <c r="W60" s="92">
        <f t="shared" si="19"/>
        <v>-13.567188852610577</v>
      </c>
      <c r="X60" s="92">
        <f t="shared" si="20"/>
        <v>57.00066944156213</v>
      </c>
      <c r="Y60" s="92">
        <f t="shared" si="21"/>
        <v>-19.673681539504962</v>
      </c>
      <c r="Z60" s="92">
        <f t="shared" si="22"/>
        <v>-15.47097686425901</v>
      </c>
      <c r="AA60" s="92">
        <f t="shared" si="23"/>
        <v>62.25336285887318</v>
      </c>
      <c r="AB60" s="92">
        <f t="shared" si="24"/>
        <v>-19.042024842227942</v>
      </c>
      <c r="AC60" s="92">
        <f t="shared" si="25"/>
        <v>340.95797515777207</v>
      </c>
      <c r="AD60" s="92">
        <f t="shared" si="26"/>
        <v>-14.389733214253257</v>
      </c>
      <c r="AE60" s="92">
        <f t="shared" si="27"/>
        <v>138.31761582090985</v>
      </c>
      <c r="AF60" s="92">
        <f t="shared" si="28"/>
        <v>-0.4272812697783244</v>
      </c>
      <c r="AG60" s="92">
        <f t="shared" si="29"/>
        <v>-25.29514601552295</v>
      </c>
    </row>
    <row r="61" spans="3:33" ht="12.75">
      <c r="C61" s="11">
        <v>2</v>
      </c>
      <c r="D61" s="70">
        <f t="shared" si="0"/>
        <v>1101.5833333333333</v>
      </c>
      <c r="E61" s="70">
        <f t="shared" si="1"/>
        <v>286.23374838333325</v>
      </c>
      <c r="F61" s="70">
        <f t="shared" si="2"/>
        <v>3.248863808333226</v>
      </c>
      <c r="G61" s="70">
        <f t="shared" si="3"/>
        <v>286.34454043373637</v>
      </c>
      <c r="H61" s="70">
        <f t="shared" si="4"/>
        <v>287.7243533161402</v>
      </c>
      <c r="I61" s="70">
        <f t="shared" si="5"/>
        <v>-22.438433751968418</v>
      </c>
      <c r="J61" s="70">
        <f t="shared" si="6"/>
        <v>206.59230630274396</v>
      </c>
      <c r="K61" s="70">
        <f t="shared" si="7"/>
        <v>-0.5826021371224578</v>
      </c>
      <c r="L61" s="89">
        <f t="shared" si="8"/>
        <v>-35.63377200176736</v>
      </c>
      <c r="M61" s="90">
        <f t="shared" si="9"/>
        <v>0.030159707962582705</v>
      </c>
      <c r="N61" s="18">
        <f t="shared" si="10"/>
        <v>337.97538968546263</v>
      </c>
      <c r="O61" s="91">
        <f t="shared" si="11"/>
        <v>-5.16995835136754</v>
      </c>
      <c r="P61" s="70">
        <f t="shared" si="12"/>
        <v>0.9262283499324483</v>
      </c>
      <c r="Q61" s="70">
        <f t="shared" si="13"/>
        <v>61.861931909398315</v>
      </c>
      <c r="R61" s="92">
        <f t="shared" si="14"/>
        <v>0.9232515334458764</v>
      </c>
      <c r="S61" s="92">
        <f t="shared" si="15"/>
        <v>-0.3068212598982842</v>
      </c>
      <c r="T61" s="92">
        <f t="shared" si="16"/>
        <v>-0.23124632253458088</v>
      </c>
      <c r="U61" s="92">
        <f t="shared" si="17"/>
        <v>-18.383031858154457</v>
      </c>
      <c r="V61" s="92">
        <f t="shared" si="18"/>
        <v>341.6169681418455</v>
      </c>
      <c r="W61" s="92">
        <f t="shared" si="19"/>
        <v>-13.370459065526648</v>
      </c>
      <c r="X61" s="92">
        <f t="shared" si="20"/>
        <v>57.294713006293804</v>
      </c>
      <c r="Y61" s="92">
        <f t="shared" si="21"/>
        <v>-19.16566261947977</v>
      </c>
      <c r="Z61" s="92">
        <f t="shared" si="22"/>
        <v>-15.271270085222074</v>
      </c>
      <c r="AA61" s="92">
        <f t="shared" si="23"/>
        <v>62.315475221914944</v>
      </c>
      <c r="AB61" s="92">
        <f t="shared" si="24"/>
        <v>-18.4956109691254</v>
      </c>
      <c r="AC61" s="92">
        <f t="shared" si="25"/>
        <v>341.5043890308746</v>
      </c>
      <c r="AD61" s="92">
        <f t="shared" si="26"/>
        <v>-14.185606917553912</v>
      </c>
      <c r="AE61" s="92">
        <f t="shared" si="27"/>
        <v>152.8122705880087</v>
      </c>
      <c r="AF61" s="92">
        <f t="shared" si="28"/>
        <v>-0.45991651645070064</v>
      </c>
      <c r="AG61" s="92">
        <f t="shared" si="29"/>
        <v>-27.38172059347807</v>
      </c>
    </row>
    <row r="62" spans="3:33" ht="12.75">
      <c r="C62" s="11">
        <v>3</v>
      </c>
      <c r="D62" s="70">
        <f t="shared" si="0"/>
        <v>1101.625</v>
      </c>
      <c r="E62" s="70">
        <f t="shared" si="1"/>
        <v>286.27481702499995</v>
      </c>
      <c r="F62" s="70">
        <f t="shared" si="2"/>
        <v>3.289930487499987</v>
      </c>
      <c r="G62" s="70">
        <f t="shared" si="3"/>
        <v>286.38700789873354</v>
      </c>
      <c r="H62" s="70">
        <f t="shared" si="4"/>
        <v>287.7699606447291</v>
      </c>
      <c r="I62" s="70">
        <f t="shared" si="5"/>
        <v>-22.433284321680695</v>
      </c>
      <c r="J62" s="70">
        <f t="shared" si="6"/>
        <v>221.58776761445915</v>
      </c>
      <c r="K62" s="70">
        <f t="shared" si="7"/>
        <v>-0.5475361699343884</v>
      </c>
      <c r="L62" s="89">
        <f t="shared" si="8"/>
        <v>-33.19814758076799</v>
      </c>
      <c r="M62" s="90">
        <f t="shared" si="9"/>
        <v>0.03016084873374401</v>
      </c>
      <c r="N62" s="18">
        <f t="shared" si="10"/>
        <v>338.4969370918383</v>
      </c>
      <c r="O62" s="91">
        <f t="shared" si="11"/>
        <v>-5.169617313542384</v>
      </c>
      <c r="P62" s="70">
        <f t="shared" si="12"/>
        <v>0.9257930330445109</v>
      </c>
      <c r="Q62" s="70">
        <f t="shared" si="13"/>
        <v>61.89101745809952</v>
      </c>
      <c r="R62" s="92">
        <f t="shared" si="14"/>
        <v>0.9266134121761789</v>
      </c>
      <c r="S62" s="92">
        <f t="shared" si="15"/>
        <v>-0.29909894694496175</v>
      </c>
      <c r="T62" s="92">
        <f t="shared" si="16"/>
        <v>-0.22789170191851943</v>
      </c>
      <c r="U62" s="92">
        <f t="shared" si="17"/>
        <v>-17.889415134750585</v>
      </c>
      <c r="V62" s="92">
        <f t="shared" si="18"/>
        <v>342.1105848652494</v>
      </c>
      <c r="W62" s="92">
        <f t="shared" si="19"/>
        <v>-13.172979133543386</v>
      </c>
      <c r="X62" s="92">
        <f t="shared" si="20"/>
        <v>57.57150756098414</v>
      </c>
      <c r="Y62" s="92">
        <f t="shared" si="21"/>
        <v>-18.64338156349524</v>
      </c>
      <c r="Z62" s="92">
        <f t="shared" si="22"/>
        <v>-15.070375128284168</v>
      </c>
      <c r="AA62" s="92">
        <f t="shared" si="23"/>
        <v>62.36321323884565</v>
      </c>
      <c r="AB62" s="92">
        <f t="shared" si="24"/>
        <v>-17.943509186465835</v>
      </c>
      <c r="AC62" s="92">
        <f t="shared" si="25"/>
        <v>342.05649081353414</v>
      </c>
      <c r="AD62" s="92">
        <f t="shared" si="26"/>
        <v>-13.984233619704737</v>
      </c>
      <c r="AE62" s="92">
        <f t="shared" si="27"/>
        <v>167.3012374456157</v>
      </c>
      <c r="AF62" s="92">
        <f t="shared" si="28"/>
        <v>-0.478425664553333</v>
      </c>
      <c r="AG62" s="92">
        <f t="shared" si="29"/>
        <v>-28.58263007608113</v>
      </c>
    </row>
    <row r="63" spans="3:33" ht="12.75">
      <c r="C63" s="11">
        <v>4</v>
      </c>
      <c r="D63" s="70">
        <f t="shared" si="0"/>
        <v>1101.6666666666667</v>
      </c>
      <c r="E63" s="70">
        <f t="shared" si="1"/>
        <v>286.31588566666665</v>
      </c>
      <c r="F63" s="70">
        <f t="shared" si="2"/>
        <v>3.330997166666748</v>
      </c>
      <c r="G63" s="70">
        <f t="shared" si="3"/>
        <v>286.42947530256305</v>
      </c>
      <c r="H63" s="70">
        <f t="shared" si="4"/>
        <v>287.81556455025515</v>
      </c>
      <c r="I63" s="70">
        <f t="shared" si="5"/>
        <v>-22.42812209519992</v>
      </c>
      <c r="J63" s="70">
        <f t="shared" si="6"/>
        <v>236.58323234925047</v>
      </c>
      <c r="K63" s="70">
        <f t="shared" si="7"/>
        <v>-0.5002803846393025</v>
      </c>
      <c r="L63" s="89">
        <f t="shared" si="8"/>
        <v>-30.018551832786823</v>
      </c>
      <c r="M63" s="90">
        <f t="shared" si="9"/>
        <v>0.03016198950490532</v>
      </c>
      <c r="N63" s="18">
        <f t="shared" si="10"/>
        <v>339.0179519762477</v>
      </c>
      <c r="O63" s="91">
        <f t="shared" si="11"/>
        <v>-5.16885882941983</v>
      </c>
      <c r="P63" s="70">
        <f t="shared" si="12"/>
        <v>0.9253604971009561</v>
      </c>
      <c r="Q63" s="70">
        <f t="shared" si="13"/>
        <v>61.919944303865854</v>
      </c>
      <c r="R63" s="92">
        <f t="shared" si="14"/>
        <v>0.9298958146762033</v>
      </c>
      <c r="S63" s="92">
        <f t="shared" si="15"/>
        <v>-0.29135990451439453</v>
      </c>
      <c r="T63" s="92">
        <f t="shared" si="16"/>
        <v>-0.22452191885860268</v>
      </c>
      <c r="U63" s="92">
        <f t="shared" si="17"/>
        <v>-17.397094846682258</v>
      </c>
      <c r="V63" s="92">
        <f t="shared" si="18"/>
        <v>342.60290515331775</v>
      </c>
      <c r="W63" s="92">
        <f t="shared" si="19"/>
        <v>-12.974766873571264</v>
      </c>
      <c r="X63" s="92">
        <f t="shared" si="20"/>
        <v>57.82817084658374</v>
      </c>
      <c r="Y63" s="92">
        <f t="shared" si="21"/>
        <v>-18.110530204861426</v>
      </c>
      <c r="Z63" s="92">
        <f t="shared" si="22"/>
        <v>-14.868310537010833</v>
      </c>
      <c r="AA63" s="92">
        <f t="shared" si="23"/>
        <v>62.39515450728416</v>
      </c>
      <c r="AB63" s="92">
        <f t="shared" si="24"/>
        <v>-17.389425670891388</v>
      </c>
      <c r="AC63" s="92">
        <f t="shared" si="25"/>
        <v>342.6105743291086</v>
      </c>
      <c r="AD63" s="92">
        <f t="shared" si="26"/>
        <v>-13.785796682806467</v>
      </c>
      <c r="AE63" s="92">
        <f t="shared" si="27"/>
        <v>181.78822257037973</v>
      </c>
      <c r="AF63" s="92">
        <f t="shared" si="28"/>
        <v>-0.48141401258168937</v>
      </c>
      <c r="AG63" s="92">
        <f t="shared" si="29"/>
        <v>-28.777794190708974</v>
      </c>
    </row>
    <row r="64" spans="3:33" ht="12.75">
      <c r="C64" s="11">
        <v>5</v>
      </c>
      <c r="D64" s="70">
        <f t="shared" si="0"/>
        <v>1101.7083333333333</v>
      </c>
      <c r="E64" s="70">
        <f t="shared" si="1"/>
        <v>286.3569543083331</v>
      </c>
      <c r="F64" s="70">
        <f t="shared" si="2"/>
        <v>3.3720638458332814</v>
      </c>
      <c r="G64" s="70">
        <f t="shared" si="3"/>
        <v>286.47194264446216</v>
      </c>
      <c r="H64" s="70">
        <f t="shared" si="4"/>
        <v>287.86116502459373</v>
      </c>
      <c r="I64" s="70">
        <f t="shared" si="5"/>
        <v>-22.422947076896875</v>
      </c>
      <c r="J64" s="70">
        <f t="shared" si="6"/>
        <v>251.57870051509235</v>
      </c>
      <c r="K64" s="70">
        <f t="shared" si="7"/>
        <v>-0.44404696437092495</v>
      </c>
      <c r="L64" s="89">
        <f t="shared" si="8"/>
        <v>-26.362379932122394</v>
      </c>
      <c r="M64" s="90">
        <f t="shared" si="9"/>
        <v>0.030163130276066617</v>
      </c>
      <c r="N64" s="18">
        <f t="shared" si="10"/>
        <v>339.53843697684647</v>
      </c>
      <c r="O64" s="91">
        <f t="shared" si="11"/>
        <v>-5.16768419733279</v>
      </c>
      <c r="P64" s="70">
        <f t="shared" si="12"/>
        <v>0.9249307989695973</v>
      </c>
      <c r="Q64" s="70">
        <f t="shared" si="13"/>
        <v>61.948708154626175</v>
      </c>
      <c r="R64" s="92">
        <f t="shared" si="14"/>
        <v>0.9330987250186938</v>
      </c>
      <c r="S64" s="92">
        <f t="shared" si="15"/>
        <v>-0.2836047924392998</v>
      </c>
      <c r="T64" s="92">
        <f t="shared" si="16"/>
        <v>-0.2211372840083659</v>
      </c>
      <c r="U64" s="92">
        <f t="shared" si="17"/>
        <v>-16.906055470234914</v>
      </c>
      <c r="V64" s="92">
        <f t="shared" si="18"/>
        <v>343.0939445297651</v>
      </c>
      <c r="W64" s="92">
        <f t="shared" si="19"/>
        <v>-12.77583993009885</v>
      </c>
      <c r="X64" s="92">
        <f t="shared" si="20"/>
        <v>58.06286648985977</v>
      </c>
      <c r="Y64" s="92">
        <f t="shared" si="21"/>
        <v>-17.57141971642334</v>
      </c>
      <c r="Z64" s="92">
        <f t="shared" si="22"/>
        <v>-14.665094895430009</v>
      </c>
      <c r="AA64" s="92">
        <f t="shared" si="23"/>
        <v>62.41086655512771</v>
      </c>
      <c r="AB64" s="92">
        <f t="shared" si="24"/>
        <v>-16.837258154666213</v>
      </c>
      <c r="AC64" s="92">
        <f t="shared" si="25"/>
        <v>343.1627418453338</v>
      </c>
      <c r="AD64" s="92">
        <f t="shared" si="26"/>
        <v>-13.59024500513808</v>
      </c>
      <c r="AE64" s="92">
        <f t="shared" si="27"/>
        <v>196.2771236943081</v>
      </c>
      <c r="AF64" s="92">
        <f t="shared" si="28"/>
        <v>-0.4684586624291254</v>
      </c>
      <c r="AG64" s="92">
        <f t="shared" si="29"/>
        <v>-27.934291412316465</v>
      </c>
    </row>
    <row r="65" spans="3:33" ht="12.75">
      <c r="C65" s="11">
        <v>6</v>
      </c>
      <c r="D65" s="70">
        <f t="shared" si="0"/>
        <v>1101.75</v>
      </c>
      <c r="E65" s="70">
        <f t="shared" si="1"/>
        <v>286.39802295000004</v>
      </c>
      <c r="F65" s="70">
        <f t="shared" si="2"/>
        <v>3.4131305250000423</v>
      </c>
      <c r="G65" s="70">
        <f t="shared" si="3"/>
        <v>286.51440992366906</v>
      </c>
      <c r="H65" s="70">
        <f t="shared" si="4"/>
        <v>287.9067620596317</v>
      </c>
      <c r="I65" s="70">
        <f t="shared" si="5"/>
        <v>-22.417759271152555</v>
      </c>
      <c r="J65" s="70">
        <f t="shared" si="6"/>
        <v>266.5741721203667</v>
      </c>
      <c r="K65" s="70">
        <f t="shared" si="7"/>
        <v>-0.38265978416029894</v>
      </c>
      <c r="L65" s="89">
        <f t="shared" si="8"/>
        <v>-22.498533428767228</v>
      </c>
      <c r="M65" s="90">
        <f t="shared" si="9"/>
        <v>0.030164271047227926</v>
      </c>
      <c r="N65" s="18">
        <f t="shared" si="10"/>
        <v>340.0583948060169</v>
      </c>
      <c r="O65" s="91">
        <f t="shared" si="11"/>
        <v>-5.166094737733738</v>
      </c>
      <c r="P65" s="70">
        <f t="shared" si="12"/>
        <v>0.9245039951282764</v>
      </c>
      <c r="Q65" s="70">
        <f t="shared" si="13"/>
        <v>61.97730473234888</v>
      </c>
      <c r="R65" s="92">
        <f t="shared" si="14"/>
        <v>0.9362221333758255</v>
      </c>
      <c r="S65" s="92">
        <f t="shared" si="15"/>
        <v>-0.2758342669242267</v>
      </c>
      <c r="T65" s="92">
        <f t="shared" si="16"/>
        <v>-0.2177381068519907</v>
      </c>
      <c r="U65" s="92">
        <f t="shared" si="17"/>
        <v>-16.4162813284889</v>
      </c>
      <c r="V65" s="92">
        <f t="shared" si="18"/>
        <v>343.5837186715111</v>
      </c>
      <c r="W65" s="92">
        <f t="shared" si="19"/>
        <v>-12.576215775535228</v>
      </c>
      <c r="X65" s="92">
        <f t="shared" si="20"/>
        <v>58.274928907934765</v>
      </c>
      <c r="Y65" s="92">
        <f t="shared" si="21"/>
        <v>-17.03068807711712</v>
      </c>
      <c r="Z65" s="92">
        <f t="shared" si="22"/>
        <v>-14.460746826499635</v>
      </c>
      <c r="AA65" s="92">
        <f t="shared" si="23"/>
        <v>62.41093553524918</v>
      </c>
      <c r="AB65" s="92">
        <f t="shared" si="24"/>
        <v>-16.290857248364244</v>
      </c>
      <c r="AC65" s="92">
        <f t="shared" si="25"/>
        <v>343.70914275163574</v>
      </c>
      <c r="AD65" s="92">
        <f t="shared" si="26"/>
        <v>-13.397304110673552</v>
      </c>
      <c r="AE65" s="92">
        <f t="shared" si="27"/>
        <v>210.77179142832756</v>
      </c>
      <c r="AF65" s="92">
        <f t="shared" si="28"/>
        <v>-0.4401357873218167</v>
      </c>
      <c r="AG65" s="92">
        <f t="shared" si="29"/>
        <v>-26.112545221985446</v>
      </c>
    </row>
    <row r="66" spans="3:33" ht="12.75">
      <c r="C66" s="11">
        <v>7</v>
      </c>
      <c r="D66" s="70">
        <f t="shared" si="0"/>
        <v>1101.7916666666667</v>
      </c>
      <c r="E66" s="70">
        <f t="shared" si="1"/>
        <v>286.43909159166674</v>
      </c>
      <c r="F66" s="70">
        <f t="shared" si="2"/>
        <v>3.454197204166803</v>
      </c>
      <c r="G66" s="70">
        <f t="shared" si="3"/>
        <v>286.55687713942075</v>
      </c>
      <c r="H66" s="70">
        <f t="shared" si="4"/>
        <v>287.95235564726505</v>
      </c>
      <c r="I66" s="70">
        <f t="shared" si="5"/>
        <v>-22.412558682358373</v>
      </c>
      <c r="J66" s="70">
        <f t="shared" si="6"/>
        <v>281.5696471729898</v>
      </c>
      <c r="K66" s="70">
        <f t="shared" si="7"/>
        <v>-0.32029401556229065</v>
      </c>
      <c r="L66" s="89">
        <f t="shared" si="8"/>
        <v>-18.680706626691595</v>
      </c>
      <c r="M66" s="90">
        <f t="shared" si="9"/>
        <v>0.030165411818389234</v>
      </c>
      <c r="N66" s="18">
        <f t="shared" si="10"/>
        <v>340.5778282501133</v>
      </c>
      <c r="O66" s="91">
        <f t="shared" si="11"/>
        <v>-5.164091792639561</v>
      </c>
      <c r="P66" s="70">
        <f t="shared" si="12"/>
        <v>0.9240801416551138</v>
      </c>
      <c r="Q66" s="70">
        <f t="shared" si="13"/>
        <v>62.00572977402297</v>
      </c>
      <c r="R66" s="92">
        <f t="shared" si="14"/>
        <v>0.9392660359078873</v>
      </c>
      <c r="S66" s="92">
        <f t="shared" si="15"/>
        <v>-0.26804898051674464</v>
      </c>
      <c r="T66" s="92">
        <f t="shared" si="16"/>
        <v>-0.21432469568148</v>
      </c>
      <c r="U66" s="92">
        <f t="shared" si="17"/>
        <v>-15.927756597292428</v>
      </c>
      <c r="V66" s="92">
        <f t="shared" si="18"/>
        <v>344.07224340270756</v>
      </c>
      <c r="W66" s="92">
        <f t="shared" si="19"/>
        <v>-12.375911710672533</v>
      </c>
      <c r="X66" s="92">
        <f t="shared" si="20"/>
        <v>58.464908018574704</v>
      </c>
      <c r="Y66" s="92">
        <f t="shared" si="21"/>
        <v>-16.492985146184363</v>
      </c>
      <c r="Z66" s="92">
        <f t="shared" si="22"/>
        <v>-14.255284990614625</v>
      </c>
      <c r="AA66" s="92">
        <f t="shared" si="23"/>
        <v>62.39693244716683</v>
      </c>
      <c r="AB66" s="92">
        <f t="shared" si="24"/>
        <v>-15.753790671608728</v>
      </c>
      <c r="AC66" s="92">
        <f t="shared" si="25"/>
        <v>344.2462093283913</v>
      </c>
      <c r="AD66" s="92">
        <f t="shared" si="26"/>
        <v>-13.206499609090312</v>
      </c>
      <c r="AE66" s="92">
        <f t="shared" si="27"/>
        <v>225.27579349186271</v>
      </c>
      <c r="AF66" s="92">
        <f t="shared" si="28"/>
        <v>-0.3979895489991129</v>
      </c>
      <c r="AG66" s="92">
        <f t="shared" si="29"/>
        <v>-23.45255549818474</v>
      </c>
    </row>
    <row r="67" spans="3:33" ht="12.75">
      <c r="C67" s="11">
        <v>8</v>
      </c>
      <c r="D67" s="70">
        <f t="shared" si="0"/>
        <v>1101.8333333333333</v>
      </c>
      <c r="E67" s="70">
        <f t="shared" si="1"/>
        <v>286.4801602333332</v>
      </c>
      <c r="F67" s="70">
        <f t="shared" si="2"/>
        <v>3.4952638833333367</v>
      </c>
      <c r="G67" s="70">
        <f t="shared" si="3"/>
        <v>286.59934429095483</v>
      </c>
      <c r="H67" s="70">
        <f t="shared" si="4"/>
        <v>287.99794577940116</v>
      </c>
      <c r="I67" s="70">
        <f t="shared" si="5"/>
        <v>-22.407345314915965</v>
      </c>
      <c r="J67" s="70">
        <f t="shared" si="6"/>
        <v>296.56512568105245</v>
      </c>
      <c r="K67" s="70">
        <f t="shared" si="7"/>
        <v>-0.2611917847409404</v>
      </c>
      <c r="L67" s="89">
        <f t="shared" si="8"/>
        <v>-15.140790183290227</v>
      </c>
      <c r="M67" s="90">
        <f t="shared" si="9"/>
        <v>0.030166552589550533</v>
      </c>
      <c r="N67" s="18">
        <f t="shared" si="10"/>
        <v>341.0967401692441</v>
      </c>
      <c r="O67" s="91">
        <f t="shared" si="11"/>
        <v>-5.161676725080581</v>
      </c>
      <c r="P67" s="70">
        <f t="shared" si="12"/>
        <v>0.9236592942188018</v>
      </c>
      <c r="Q67" s="70">
        <f t="shared" si="13"/>
        <v>62.03397903264429</v>
      </c>
      <c r="R67" s="92">
        <f t="shared" si="14"/>
        <v>0.9422304346525527</v>
      </c>
      <c r="S67" s="92">
        <f t="shared" si="15"/>
        <v>-0.26024958208014976</v>
      </c>
      <c r="T67" s="92">
        <f t="shared" si="16"/>
        <v>-0.21089735757458022</v>
      </c>
      <c r="U67" s="92">
        <f t="shared" si="17"/>
        <v>-15.44046531103241</v>
      </c>
      <c r="V67" s="92">
        <f t="shared" si="18"/>
        <v>344.5595346889676</v>
      </c>
      <c r="W67" s="92">
        <f t="shared" si="19"/>
        <v>-12.174944865224342</v>
      </c>
      <c r="X67" s="92">
        <f t="shared" si="20"/>
        <v>58.63453069263231</v>
      </c>
      <c r="Y67" s="92">
        <f t="shared" si="21"/>
        <v>-15.962656923405309</v>
      </c>
      <c r="Z67" s="92">
        <f t="shared" si="22"/>
        <v>-14.04872808411066</v>
      </c>
      <c r="AA67" s="92">
        <f t="shared" si="23"/>
        <v>62.37131845953603</v>
      </c>
      <c r="AB67" s="92">
        <f t="shared" si="24"/>
        <v>-15.229122634240865</v>
      </c>
      <c r="AC67" s="92">
        <f t="shared" si="25"/>
        <v>344.77087736575913</v>
      </c>
      <c r="AD67" s="92">
        <f t="shared" si="26"/>
        <v>-13.017191603694368</v>
      </c>
      <c r="AE67" s="92">
        <f t="shared" si="27"/>
        <v>239.7921940946835</v>
      </c>
      <c r="AF67" s="92">
        <f t="shared" si="28"/>
        <v>-0.3444436707409986</v>
      </c>
      <c r="AG67" s="92">
        <f t="shared" si="29"/>
        <v>-20.14783906779796</v>
      </c>
    </row>
    <row r="68" spans="3:33" ht="12.75">
      <c r="C68" s="11">
        <v>9</v>
      </c>
      <c r="D68" s="70">
        <f t="shared" si="0"/>
        <v>1101.875</v>
      </c>
      <c r="E68" s="70">
        <f t="shared" si="1"/>
        <v>286.5212288749999</v>
      </c>
      <c r="F68" s="70">
        <f t="shared" si="2"/>
        <v>3.5363305625000976</v>
      </c>
      <c r="G68" s="70">
        <f t="shared" si="3"/>
        <v>286.64181137750944</v>
      </c>
      <c r="H68" s="70">
        <f t="shared" si="4"/>
        <v>288.04353244795846</v>
      </c>
      <c r="I68" s="70">
        <f t="shared" si="5"/>
        <v>-22.402119173237168</v>
      </c>
      <c r="J68" s="70">
        <f t="shared" si="6"/>
        <v>311.5606076528202</v>
      </c>
      <c r="K68" s="70">
        <f t="shared" si="7"/>
        <v>-0.20937324846362843</v>
      </c>
      <c r="L68" s="89">
        <f t="shared" si="8"/>
        <v>-12.085625541814013</v>
      </c>
      <c r="M68" s="90">
        <f t="shared" si="9"/>
        <v>0.03016769336071184</v>
      </c>
      <c r="N68" s="18">
        <f t="shared" si="10"/>
        <v>341.61513349703785</v>
      </c>
      <c r="O68" s="91">
        <f t="shared" si="11"/>
        <v>-5.158850918553732</v>
      </c>
      <c r="P68" s="70">
        <f t="shared" si="12"/>
        <v>0.9232415080689808</v>
      </c>
      <c r="Q68" s="70">
        <f t="shared" si="13"/>
        <v>62.062048278203896</v>
      </c>
      <c r="R68" s="92">
        <f t="shared" si="14"/>
        <v>0.945115337414449</v>
      </c>
      <c r="S68" s="92">
        <f t="shared" si="15"/>
        <v>-0.2524367167684438</v>
      </c>
      <c r="T68" s="92">
        <f t="shared" si="16"/>
        <v>-0.20745639837377616</v>
      </c>
      <c r="U68" s="92">
        <f t="shared" si="17"/>
        <v>-14.954391368253773</v>
      </c>
      <c r="V68" s="92">
        <f t="shared" si="18"/>
        <v>345.04560863174623</v>
      </c>
      <c r="W68" s="92">
        <f t="shared" si="19"/>
        <v>-11.973332198456596</v>
      </c>
      <c r="X68" s="92">
        <f t="shared" si="20"/>
        <v>58.78658158979263</v>
      </c>
      <c r="Y68" s="92">
        <f t="shared" si="21"/>
        <v>-15.443450629647758</v>
      </c>
      <c r="Z68" s="92">
        <f t="shared" si="22"/>
        <v>-13.841094837784667</v>
      </c>
      <c r="AA68" s="92">
        <f t="shared" si="23"/>
        <v>62.337294203969606</v>
      </c>
      <c r="AB68" s="92">
        <f t="shared" si="24"/>
        <v>-14.719220431840865</v>
      </c>
      <c r="AC68" s="92">
        <f t="shared" si="25"/>
        <v>345.2807795681591</v>
      </c>
      <c r="AD68" s="92">
        <f t="shared" si="26"/>
        <v>-12.828618292967255</v>
      </c>
      <c r="AE68" s="92">
        <f t="shared" si="27"/>
        <v>254.3233605325804</v>
      </c>
      <c r="AF68" s="92">
        <f t="shared" si="28"/>
        <v>-0.2826591419805538</v>
      </c>
      <c r="AG68" s="92">
        <f t="shared" si="29"/>
        <v>-16.418974919096136</v>
      </c>
    </row>
    <row r="69" spans="3:33" ht="12.75">
      <c r="C69" s="11">
        <v>10</v>
      </c>
      <c r="D69" s="70">
        <f t="shared" si="0"/>
        <v>1101.9166666666667</v>
      </c>
      <c r="E69" s="70">
        <f t="shared" si="1"/>
        <v>286.5622975166666</v>
      </c>
      <c r="F69" s="70">
        <f t="shared" si="2"/>
        <v>3.577397241666631</v>
      </c>
      <c r="G69" s="70">
        <f t="shared" si="3"/>
        <v>286.68427839832214</v>
      </c>
      <c r="H69" s="70">
        <f t="shared" si="4"/>
        <v>288.0891156448653</v>
      </c>
      <c r="I69" s="70">
        <f t="shared" si="5"/>
        <v>-22.39688026174414</v>
      </c>
      <c r="J69" s="70">
        <f t="shared" si="6"/>
        <v>326.556093096151</v>
      </c>
      <c r="K69" s="70">
        <f t="shared" si="7"/>
        <v>-0.16836276603423947</v>
      </c>
      <c r="L69" s="89">
        <f t="shared" si="8"/>
        <v>-9.69264044253584</v>
      </c>
      <c r="M69" s="90">
        <f t="shared" si="9"/>
        <v>0.03016883413187315</v>
      </c>
      <c r="N69" s="18">
        <f t="shared" si="10"/>
        <v>342.1330112403521</v>
      </c>
      <c r="O69" s="91">
        <f t="shared" si="11"/>
        <v>-5.155615776480609</v>
      </c>
      <c r="P69" s="70">
        <f t="shared" si="12"/>
        <v>0.9228268380267368</v>
      </c>
      <c r="Q69" s="70">
        <f t="shared" si="13"/>
        <v>62.089933298675696</v>
      </c>
      <c r="R69" s="92">
        <f t="shared" si="14"/>
        <v>0.9479207576548448</v>
      </c>
      <c r="S69" s="92">
        <f t="shared" si="15"/>
        <v>-0.2446110260042035</v>
      </c>
      <c r="T69" s="92">
        <f t="shared" si="16"/>
        <v>-0.20400212266663983</v>
      </c>
      <c r="U69" s="92">
        <f t="shared" si="17"/>
        <v>-14.469518537168094</v>
      </c>
      <c r="V69" s="92">
        <f t="shared" si="18"/>
        <v>345.5304814628319</v>
      </c>
      <c r="W69" s="92">
        <f t="shared" si="19"/>
        <v>-11.771090499924908</v>
      </c>
      <c r="X69" s="92">
        <f t="shared" si="20"/>
        <v>58.92471154263182</v>
      </c>
      <c r="Y69" s="92">
        <f t="shared" si="21"/>
        <v>-14.938260815414532</v>
      </c>
      <c r="Z69" s="92">
        <f t="shared" si="22"/>
        <v>-13.632404015448994</v>
      </c>
      <c r="AA69" s="92">
        <f t="shared" si="23"/>
        <v>62.29860115453754</v>
      </c>
      <c r="AB69" s="92">
        <f t="shared" si="24"/>
        <v>-14.225599861785847</v>
      </c>
      <c r="AC69" s="92">
        <f t="shared" si="25"/>
        <v>345.77440013821416</v>
      </c>
      <c r="AD69" s="92">
        <f t="shared" si="26"/>
        <v>-12.639946610173977</v>
      </c>
      <c r="AE69" s="92">
        <f t="shared" si="27"/>
        <v>268.8708086027764</v>
      </c>
      <c r="AF69" s="92">
        <f t="shared" si="28"/>
        <v>-0.21634425395279894</v>
      </c>
      <c r="AG69" s="92">
        <f t="shared" si="29"/>
        <v>-12.494403679307831</v>
      </c>
    </row>
    <row r="70" spans="3:33" ht="12.75">
      <c r="C70" s="11">
        <v>11</v>
      </c>
      <c r="D70" s="70">
        <f t="shared" si="0"/>
        <v>1101.9583333333333</v>
      </c>
      <c r="E70" s="70">
        <f t="shared" si="1"/>
        <v>286.6033661583333</v>
      </c>
      <c r="F70" s="70">
        <f t="shared" si="2"/>
        <v>3.6184639208331646</v>
      </c>
      <c r="G70" s="70">
        <f t="shared" si="3"/>
        <v>286.7267453526306</v>
      </c>
      <c r="H70" s="70">
        <f t="shared" si="4"/>
        <v>288.13469536206065</v>
      </c>
      <c r="I70" s="70">
        <f t="shared" si="5"/>
        <v>-22.39162858486927</v>
      </c>
      <c r="J70" s="70">
        <f t="shared" si="6"/>
        <v>341.55158201919403</v>
      </c>
      <c r="K70" s="70">
        <f t="shared" si="7"/>
        <v>-0.14094881855367983</v>
      </c>
      <c r="L70" s="89">
        <f t="shared" si="8"/>
        <v>-8.102753996401335</v>
      </c>
      <c r="M70" s="90">
        <f t="shared" si="9"/>
        <v>0.030169974903034448</v>
      </c>
      <c r="N70" s="18">
        <f t="shared" si="10"/>
        <v>342.65037647901113</v>
      </c>
      <c r="O70" s="91">
        <f t="shared" si="11"/>
        <v>-5.151972721669995</v>
      </c>
      <c r="P70" s="70">
        <f t="shared" si="12"/>
        <v>0.92241533847514</v>
      </c>
      <c r="Q70" s="70">
        <f t="shared" si="13"/>
        <v>62.11762990100888</v>
      </c>
      <c r="R70" s="92">
        <f t="shared" si="14"/>
        <v>0.9506467143820084</v>
      </c>
      <c r="S70" s="92">
        <f t="shared" si="15"/>
        <v>-0.23677314745801292</v>
      </c>
      <c r="T70" s="92">
        <f t="shared" si="16"/>
        <v>-0.20053483376695053</v>
      </c>
      <c r="U70" s="92">
        <f t="shared" si="17"/>
        <v>-13.985830460971208</v>
      </c>
      <c r="V70" s="92">
        <f t="shared" si="18"/>
        <v>346.0141695390288</v>
      </c>
      <c r="W70" s="92">
        <f t="shared" si="19"/>
        <v>-11.568236390281761</v>
      </c>
      <c r="X70" s="92">
        <f t="shared" si="20"/>
        <v>59.05318661841616</v>
      </c>
      <c r="Y70" s="92">
        <f t="shared" si="21"/>
        <v>-14.448933893714152</v>
      </c>
      <c r="Z70" s="92">
        <f t="shared" si="22"/>
        <v>-13.422674412484842</v>
      </c>
      <c r="AA70" s="92">
        <f t="shared" si="23"/>
        <v>62.25928628596687</v>
      </c>
      <c r="AB70" s="92">
        <f t="shared" si="24"/>
        <v>-13.748820064079505</v>
      </c>
      <c r="AC70" s="92">
        <f t="shared" si="25"/>
        <v>346.2511799359205</v>
      </c>
      <c r="AD70" s="92">
        <f t="shared" si="26"/>
        <v>-12.450327264739522</v>
      </c>
      <c r="AE70" s="92">
        <f t="shared" si="27"/>
        <v>283.4350974453264</v>
      </c>
      <c r="AF70" s="92">
        <f t="shared" si="28"/>
        <v>-0.14952616252102952</v>
      </c>
      <c r="AG70" s="92">
        <f t="shared" si="29"/>
        <v>-8.599467990536043</v>
      </c>
    </row>
    <row r="71" spans="3:33" ht="12.75">
      <c r="C71" s="93">
        <v>12</v>
      </c>
      <c r="D71" s="94">
        <f t="shared" si="0"/>
        <v>1102</v>
      </c>
      <c r="E71" s="94">
        <f t="shared" si="1"/>
        <v>286.6444348</v>
      </c>
      <c r="F71" s="94">
        <f t="shared" si="2"/>
        <v>3.6595305999999255</v>
      </c>
      <c r="G71" s="94">
        <f t="shared" si="3"/>
        <v>286.76921223967264</v>
      </c>
      <c r="H71" s="94">
        <f t="shared" si="4"/>
        <v>288.18027159149466</v>
      </c>
      <c r="I71" s="94">
        <f t="shared" si="5"/>
        <v>-22.386364147055172</v>
      </c>
      <c r="J71" s="94">
        <f t="shared" si="6"/>
        <v>356.5470744300401</v>
      </c>
      <c r="K71" s="94">
        <f t="shared" si="7"/>
        <v>-0.1289940298684506</v>
      </c>
      <c r="L71" s="95">
        <f t="shared" si="8"/>
        <v>-7.411465028257455</v>
      </c>
      <c r="M71" s="96">
        <f t="shared" si="9"/>
        <v>0.030171115674195757</v>
      </c>
      <c r="N71" s="97">
        <f t="shared" si="10"/>
        <v>343.16723236553366</v>
      </c>
      <c r="O71" s="98">
        <f t="shared" si="11"/>
        <v>-5.147923195785378</v>
      </c>
      <c r="P71" s="94">
        <f t="shared" si="12"/>
        <v>0.9220070633498808</v>
      </c>
      <c r="Q71" s="94">
        <f t="shared" si="13"/>
        <v>62.14513391212069</v>
      </c>
      <c r="R71" s="99">
        <f t="shared" si="14"/>
        <v>0.9532932320420345</v>
      </c>
      <c r="S71" s="99">
        <f t="shared" si="15"/>
        <v>-0.22892371503001896</v>
      </c>
      <c r="T71" s="99">
        <f t="shared" si="16"/>
        <v>-0.19705483369683746</v>
      </c>
      <c r="U71" s="99">
        <f t="shared" si="17"/>
        <v>-13.503310663008378</v>
      </c>
      <c r="V71" s="99">
        <f t="shared" si="18"/>
        <v>346.4966893369916</v>
      </c>
      <c r="W71" s="99">
        <f t="shared" si="19"/>
        <v>-11.364786322165939</v>
      </c>
      <c r="X71" s="99">
        <f t="shared" si="20"/>
        <v>59.176595052782915</v>
      </c>
      <c r="Y71" s="99">
        <f t="shared" si="21"/>
        <v>-13.97614449048432</v>
      </c>
      <c r="Z71" s="99">
        <f t="shared" si="22"/>
        <v>-13.211924854409705</v>
      </c>
      <c r="AA71" s="99">
        <f t="shared" si="23"/>
        <v>62.22344393569449</v>
      </c>
      <c r="AB71" s="99">
        <f t="shared" si="24"/>
        <v>-13.28843655645232</v>
      </c>
      <c r="AC71" s="99">
        <f t="shared" si="25"/>
        <v>346.7115634435477</v>
      </c>
      <c r="AD71" s="99">
        <f t="shared" si="26"/>
        <v>-12.258951036327801</v>
      </c>
      <c r="AE71" s="99">
        <f t="shared" si="27"/>
        <v>298.0157825779752</v>
      </c>
      <c r="AF71" s="99">
        <f t="shared" si="28"/>
        <v>-0.08629630235665876</v>
      </c>
      <c r="AG71" s="99">
        <f t="shared" si="29"/>
        <v>-4.950571454434219</v>
      </c>
    </row>
    <row r="72" spans="3:33" ht="12.75">
      <c r="C72" s="11">
        <v>13</v>
      </c>
      <c r="D72" s="70">
        <f t="shared" si="0"/>
        <v>1102.0416666666667</v>
      </c>
      <c r="E72" s="70">
        <f t="shared" si="1"/>
        <v>286.6855034416667</v>
      </c>
      <c r="F72" s="70">
        <f t="shared" si="2"/>
        <v>3.7005972791666863</v>
      </c>
      <c r="G72" s="70">
        <f t="shared" si="3"/>
        <v>286.8116790586862</v>
      </c>
      <c r="H72" s="70">
        <f t="shared" si="4"/>
        <v>288.22584432512775</v>
      </c>
      <c r="I72" s="70">
        <f t="shared" si="5"/>
        <v>-22.38108695275466</v>
      </c>
      <c r="J72" s="70">
        <f t="shared" si="6"/>
        <v>11.54257033666363</v>
      </c>
      <c r="K72" s="70">
        <f t="shared" si="7"/>
        <v>-0.1333082324515439</v>
      </c>
      <c r="L72" s="89">
        <f t="shared" si="8"/>
        <v>-7.6608045318600215</v>
      </c>
      <c r="M72" s="90">
        <f t="shared" si="9"/>
        <v>0.03017225644535706</v>
      </c>
      <c r="N72" s="18">
        <f t="shared" si="10"/>
        <v>343.6835821247956</v>
      </c>
      <c r="O72" s="91">
        <f t="shared" si="11"/>
        <v>-5.143468658817878</v>
      </c>
      <c r="P72" s="70">
        <f t="shared" si="12"/>
        <v>0.9216020661300257</v>
      </c>
      <c r="Q72" s="70">
        <f t="shared" si="13"/>
        <v>62.172441179888104</v>
      </c>
      <c r="R72" s="92">
        <f t="shared" si="14"/>
        <v>0.9558603404099117</v>
      </c>
      <c r="S72" s="92">
        <f t="shared" si="15"/>
        <v>-0.22106335883444272</v>
      </c>
      <c r="T72" s="92">
        <f t="shared" si="16"/>
        <v>-0.19356242317031463</v>
      </c>
      <c r="U72" s="92">
        <f t="shared" si="17"/>
        <v>-13.021942551840944</v>
      </c>
      <c r="V72" s="92">
        <f t="shared" si="18"/>
        <v>346.97805744815906</v>
      </c>
      <c r="W72" s="92">
        <f t="shared" si="19"/>
        <v>-11.160756581193558</v>
      </c>
      <c r="X72" s="92">
        <f t="shared" si="20"/>
        <v>59.29953213604667</v>
      </c>
      <c r="Y72" s="92">
        <f t="shared" si="21"/>
        <v>-13.519352084873997</v>
      </c>
      <c r="Z72" s="92">
        <f t="shared" si="22"/>
        <v>-13.000174195482064</v>
      </c>
      <c r="AA72" s="92">
        <f t="shared" si="23"/>
        <v>62.19495093222356</v>
      </c>
      <c r="AB72" s="92">
        <f t="shared" si="24"/>
        <v>-12.843018346698635</v>
      </c>
      <c r="AC72" s="92">
        <f t="shared" si="25"/>
        <v>347.1569816533014</v>
      </c>
      <c r="AD72" s="92">
        <f t="shared" si="26"/>
        <v>-12.06510272853006</v>
      </c>
      <c r="AE72" s="92">
        <f t="shared" si="27"/>
        <v>312.6114330085111</v>
      </c>
      <c r="AF72" s="92">
        <f t="shared" si="28"/>
        <v>-0.03054491673440335</v>
      </c>
      <c r="AG72" s="92">
        <f t="shared" si="29"/>
        <v>-1.7503670661714177</v>
      </c>
    </row>
    <row r="73" spans="3:33" ht="12.75">
      <c r="C73" s="11">
        <v>14</v>
      </c>
      <c r="D73" s="70">
        <f t="shared" si="0"/>
        <v>1102.0833333333333</v>
      </c>
      <c r="E73" s="70">
        <f t="shared" si="1"/>
        <v>286.72657208333317</v>
      </c>
      <c r="F73" s="70">
        <f t="shared" si="2"/>
        <v>3.74166395833322</v>
      </c>
      <c r="G73" s="70">
        <f t="shared" si="3"/>
        <v>286.85414580890887</v>
      </c>
      <c r="H73" s="70">
        <f t="shared" si="4"/>
        <v>288.2714135549311</v>
      </c>
      <c r="I73" s="70">
        <f t="shared" si="5"/>
        <v>-22.375797006430794</v>
      </c>
      <c r="J73" s="70">
        <f t="shared" si="6"/>
        <v>26.538069747155532</v>
      </c>
      <c r="K73" s="70">
        <f t="shared" si="7"/>
        <v>-0.1535932285439677</v>
      </c>
      <c r="L73" s="89">
        <f t="shared" si="8"/>
        <v>-8.835217234854138</v>
      </c>
      <c r="M73" s="90">
        <f t="shared" si="9"/>
        <v>0.030173397216518363</v>
      </c>
      <c r="N73" s="18">
        <f t="shared" si="10"/>
        <v>344.1994290537391</v>
      </c>
      <c r="O73" s="91">
        <f t="shared" si="11"/>
        <v>-5.138610588564172</v>
      </c>
      <c r="P73" s="70">
        <f t="shared" si="12"/>
        <v>0.9212003998288282</v>
      </c>
      <c r="Q73" s="70">
        <f t="shared" si="13"/>
        <v>62.19954757414242</v>
      </c>
      <c r="R73" s="92">
        <f t="shared" si="14"/>
        <v>0.9583480744814644</v>
      </c>
      <c r="S73" s="92">
        <f t="shared" si="15"/>
        <v>-0.21319270518530856</v>
      </c>
      <c r="T73" s="92">
        <f t="shared" si="16"/>
        <v>-0.19005790157744515</v>
      </c>
      <c r="U73" s="92">
        <f t="shared" si="17"/>
        <v>-12.541709426110595</v>
      </c>
      <c r="V73" s="92">
        <f t="shared" si="18"/>
        <v>347.4582905738894</v>
      </c>
      <c r="W73" s="92">
        <f t="shared" si="19"/>
        <v>-10.956163287003829</v>
      </c>
      <c r="X73" s="92">
        <f t="shared" si="20"/>
        <v>59.42628464362229</v>
      </c>
      <c r="Y73" s="92">
        <f t="shared" si="21"/>
        <v>-13.076840910092514</v>
      </c>
      <c r="Z73" s="92">
        <f t="shared" si="22"/>
        <v>-12.787441317297043</v>
      </c>
      <c r="AA73" s="92">
        <f t="shared" si="23"/>
        <v>62.17721230624612</v>
      </c>
      <c r="AB73" s="92">
        <f t="shared" si="24"/>
        <v>-12.410231016202568</v>
      </c>
      <c r="AC73" s="92">
        <f t="shared" si="25"/>
        <v>347.58976898379746</v>
      </c>
      <c r="AD73" s="92">
        <f t="shared" si="26"/>
        <v>-11.868208949393274</v>
      </c>
      <c r="AE73" s="92">
        <f t="shared" si="27"/>
        <v>327.2197143182857</v>
      </c>
      <c r="AF73" s="92">
        <f t="shared" si="28"/>
        <v>0.014297748210818223</v>
      </c>
      <c r="AG73" s="92">
        <f t="shared" si="29"/>
        <v>0.8192285425190401</v>
      </c>
    </row>
    <row r="74" spans="3:33" ht="12.75">
      <c r="C74" s="11">
        <v>15</v>
      </c>
      <c r="D74" s="70">
        <f t="shared" si="0"/>
        <v>1102.125</v>
      </c>
      <c r="E74" s="70">
        <f t="shared" si="1"/>
        <v>286.76764072499986</v>
      </c>
      <c r="F74" s="70">
        <f t="shared" si="2"/>
        <v>3.7827306374999807</v>
      </c>
      <c r="G74" s="70">
        <f t="shared" si="3"/>
        <v>286.89661248957907</v>
      </c>
      <c r="H74" s="70">
        <f t="shared" si="4"/>
        <v>288.31697927288707</v>
      </c>
      <c r="I74" s="70">
        <f t="shared" si="5"/>
        <v>-22.370494312556747</v>
      </c>
      <c r="J74" s="70">
        <f t="shared" si="6"/>
        <v>41.53357266943203</v>
      </c>
      <c r="K74" s="70">
        <f t="shared" si="7"/>
        <v>-0.18846301445486427</v>
      </c>
      <c r="L74" s="89">
        <f t="shared" si="8"/>
        <v>-10.863101053864527</v>
      </c>
      <c r="M74" s="90">
        <f t="shared" si="9"/>
        <v>0.030174537987679672</v>
      </c>
      <c r="N74" s="18">
        <f t="shared" si="10"/>
        <v>344.7147765210365</v>
      </c>
      <c r="O74" s="91">
        <f t="shared" si="11"/>
        <v>-5.13335048011001</v>
      </c>
      <c r="P74" s="70">
        <f t="shared" si="12"/>
        <v>0.9208021169846424</v>
      </c>
      <c r="Q74" s="70">
        <f t="shared" si="13"/>
        <v>62.226448987663176</v>
      </c>
      <c r="R74" s="92">
        <f t="shared" si="14"/>
        <v>0.9607564743657211</v>
      </c>
      <c r="S74" s="92">
        <f t="shared" si="15"/>
        <v>-0.20531237658478765</v>
      </c>
      <c r="T74" s="92">
        <f t="shared" si="16"/>
        <v>-0.18654156696975263</v>
      </c>
      <c r="U74" s="92">
        <f t="shared" si="17"/>
        <v>-12.062594479290848</v>
      </c>
      <c r="V74" s="92">
        <f t="shared" si="18"/>
        <v>347.93740552070915</v>
      </c>
      <c r="W74" s="92">
        <f t="shared" si="19"/>
        <v>-10.751022394393617</v>
      </c>
      <c r="X74" s="92">
        <f t="shared" si="20"/>
        <v>59.560536433212256</v>
      </c>
      <c r="Y74" s="92">
        <f t="shared" si="21"/>
        <v>-12.645840380722316</v>
      </c>
      <c r="Z74" s="92">
        <f t="shared" si="22"/>
        <v>-12.573745127411133</v>
      </c>
      <c r="AA74" s="92">
        <f t="shared" si="23"/>
        <v>62.17293499325737</v>
      </c>
      <c r="AB74" s="92">
        <f t="shared" si="24"/>
        <v>-11.986982769886174</v>
      </c>
      <c r="AC74" s="92">
        <f t="shared" si="25"/>
        <v>348.0130172301138</v>
      </c>
      <c r="AD74" s="92">
        <f t="shared" si="26"/>
        <v>-11.667875987938764</v>
      </c>
      <c r="AE74" s="92">
        <f t="shared" si="27"/>
        <v>341.8375347122201</v>
      </c>
      <c r="AF74" s="92">
        <f t="shared" si="28"/>
        <v>0.04549494035514784</v>
      </c>
      <c r="AG74" s="92">
        <f t="shared" si="29"/>
        <v>2.6075681191874236</v>
      </c>
    </row>
    <row r="75" spans="3:33" ht="12.75">
      <c r="C75" s="11">
        <v>16</v>
      </c>
      <c r="D75" s="70">
        <f t="shared" si="0"/>
        <v>1102.1666666666667</v>
      </c>
      <c r="E75" s="70">
        <f t="shared" si="1"/>
        <v>286.8087093666668</v>
      </c>
      <c r="F75" s="70">
        <f t="shared" si="2"/>
        <v>3.8237973166667416</v>
      </c>
      <c r="G75" s="70">
        <f t="shared" si="3"/>
        <v>286.9390790999348</v>
      </c>
      <c r="H75" s="70">
        <f t="shared" si="4"/>
        <v>288.36254147098856</v>
      </c>
      <c r="I75" s="70">
        <f t="shared" si="5"/>
        <v>-22.365178875615896</v>
      </c>
      <c r="J75" s="70">
        <f t="shared" si="6"/>
        <v>56.529079111642204</v>
      </c>
      <c r="K75" s="70">
        <f t="shared" si="7"/>
        <v>-0.2355380964758026</v>
      </c>
      <c r="L75" s="89">
        <f t="shared" si="8"/>
        <v>-13.623343832585244</v>
      </c>
      <c r="M75" s="90">
        <f t="shared" si="9"/>
        <v>0.030175678758840977</v>
      </c>
      <c r="N75" s="18">
        <f t="shared" si="10"/>
        <v>345.22962796673994</v>
      </c>
      <c r="O75" s="91">
        <f t="shared" si="11"/>
        <v>-5.1276898453197886</v>
      </c>
      <c r="P75" s="70">
        <f t="shared" si="12"/>
        <v>0.9204072696519502</v>
      </c>
      <c r="Q75" s="70">
        <f t="shared" si="13"/>
        <v>62.25314133717075</v>
      </c>
      <c r="R75" s="92">
        <f t="shared" si="14"/>
        <v>0.9630855851779322</v>
      </c>
      <c r="S75" s="92">
        <f t="shared" si="15"/>
        <v>-0.19742299171363623</v>
      </c>
      <c r="T75" s="92">
        <f t="shared" si="16"/>
        <v>-0.18301371604666195</v>
      </c>
      <c r="U75" s="92">
        <f t="shared" si="17"/>
        <v>-11.58458080429692</v>
      </c>
      <c r="V75" s="92">
        <f t="shared" si="18"/>
        <v>348.41541919570307</v>
      </c>
      <c r="W75" s="92">
        <f t="shared" si="19"/>
        <v>-10.545349694525935</v>
      </c>
      <c r="X75" s="92">
        <f t="shared" si="20"/>
        <v>59.70511538111421</v>
      </c>
      <c r="Y75" s="92">
        <f t="shared" si="21"/>
        <v>-12.222717794611125</v>
      </c>
      <c r="Z75" s="92">
        <f t="shared" si="22"/>
        <v>-12.359104557982748</v>
      </c>
      <c r="AA75" s="92">
        <f t="shared" si="23"/>
        <v>62.183945664729364</v>
      </c>
      <c r="AB75" s="92">
        <f t="shared" si="24"/>
        <v>-11.569625097061714</v>
      </c>
      <c r="AC75" s="92">
        <f t="shared" si="25"/>
        <v>348.4303749029383</v>
      </c>
      <c r="AD75" s="92">
        <f t="shared" si="26"/>
        <v>-11.463914595575238</v>
      </c>
      <c r="AE75" s="92">
        <f t="shared" si="27"/>
        <v>356.4612456796458</v>
      </c>
      <c r="AF75" s="92">
        <f t="shared" si="28"/>
        <v>0.061193510884436725</v>
      </c>
      <c r="AG75" s="92">
        <f t="shared" si="29"/>
        <v>3.5083218052488987</v>
      </c>
    </row>
    <row r="76" spans="3:33" ht="12.75">
      <c r="C76" s="11">
        <v>17</v>
      </c>
      <c r="D76" s="70">
        <f t="shared" si="0"/>
        <v>1102.2083333333333</v>
      </c>
      <c r="E76" s="70">
        <f t="shared" si="1"/>
        <v>286.84977800833326</v>
      </c>
      <c r="F76" s="70">
        <f t="shared" si="2"/>
        <v>3.864863995833275</v>
      </c>
      <c r="G76" s="70">
        <f t="shared" si="3"/>
        <v>286.9815456392134</v>
      </c>
      <c r="H76" s="70">
        <f t="shared" si="4"/>
        <v>288.4081001412383</v>
      </c>
      <c r="I76" s="70">
        <f t="shared" si="5"/>
        <v>-22.35985070010192</v>
      </c>
      <c r="J76" s="70">
        <f t="shared" si="6"/>
        <v>71.52458908158587</v>
      </c>
      <c r="K76" s="70">
        <f t="shared" si="7"/>
        <v>-0.29160748042383067</v>
      </c>
      <c r="L76" s="89">
        <f t="shared" si="8"/>
        <v>-16.954218063263195</v>
      </c>
      <c r="M76" s="90">
        <f t="shared" si="9"/>
        <v>0.03017681953000228</v>
      </c>
      <c r="N76" s="18">
        <f t="shared" si="10"/>
        <v>345.7439869019269</v>
      </c>
      <c r="O76" s="91">
        <f t="shared" si="11"/>
        <v>-5.121630212331571</v>
      </c>
      <c r="P76" s="70">
        <f t="shared" si="12"/>
        <v>0.9200159093924647</v>
      </c>
      <c r="Q76" s="70">
        <f t="shared" si="13"/>
        <v>62.27962056431951</v>
      </c>
      <c r="R76" s="92">
        <f t="shared" si="14"/>
        <v>0.9653354569333193</v>
      </c>
      <c r="S76" s="92">
        <f t="shared" si="15"/>
        <v>-0.18952516542356487</v>
      </c>
      <c r="T76" s="92">
        <f t="shared" si="16"/>
        <v>-0.17947464414288689</v>
      </c>
      <c r="U76" s="92">
        <f t="shared" si="17"/>
        <v>-11.107651397947823</v>
      </c>
      <c r="V76" s="92">
        <f t="shared" si="18"/>
        <v>348.89234860205215</v>
      </c>
      <c r="W76" s="92">
        <f t="shared" si="19"/>
        <v>-10.339160816205624</v>
      </c>
      <c r="X76" s="92">
        <f t="shared" si="20"/>
        <v>59.86179899743749</v>
      </c>
      <c r="Y76" s="92">
        <f t="shared" si="21"/>
        <v>-11.803230105242315</v>
      </c>
      <c r="Z76" s="92">
        <f t="shared" si="22"/>
        <v>-12.143538564424333</v>
      </c>
      <c r="AA76" s="92">
        <f t="shared" si="23"/>
        <v>62.21106612968924</v>
      </c>
      <c r="AB76" s="92">
        <f t="shared" si="24"/>
        <v>-11.154194559791385</v>
      </c>
      <c r="AC76" s="92">
        <f t="shared" si="25"/>
        <v>348.8458054402086</v>
      </c>
      <c r="AD76" s="92">
        <f t="shared" si="26"/>
        <v>-11.256349476132678</v>
      </c>
      <c r="AE76" s="92">
        <f t="shared" si="27"/>
        <v>11.086883782583755</v>
      </c>
      <c r="AF76" s="92">
        <f t="shared" si="28"/>
        <v>0.06055505163129202</v>
      </c>
      <c r="AG76" s="92">
        <f t="shared" si="29"/>
        <v>3.471672816318825</v>
      </c>
    </row>
    <row r="77" spans="3:33" ht="12.75">
      <c r="C77" s="11">
        <v>18</v>
      </c>
      <c r="D77" s="70">
        <f t="shared" si="0"/>
        <v>1102.25</v>
      </c>
      <c r="E77" s="70">
        <f t="shared" si="1"/>
        <v>286.89084664999996</v>
      </c>
      <c r="F77" s="70">
        <f t="shared" si="2"/>
        <v>3.905930675000036</v>
      </c>
      <c r="G77" s="70">
        <f t="shared" si="3"/>
        <v>287.02401210665346</v>
      </c>
      <c r="H77" s="70">
        <f t="shared" si="4"/>
        <v>288.4536552756514</v>
      </c>
      <c r="I77" s="70">
        <f t="shared" si="5"/>
        <v>-22.354509790518456</v>
      </c>
      <c r="J77" s="70">
        <f t="shared" si="6"/>
        <v>86.52010258747032</v>
      </c>
      <c r="K77" s="70">
        <f t="shared" si="7"/>
        <v>-0.35284730712214557</v>
      </c>
      <c r="L77" s="89">
        <f t="shared" si="8"/>
        <v>-20.661568359566967</v>
      </c>
      <c r="M77" s="90">
        <f t="shared" si="9"/>
        <v>0.030177960301163587</v>
      </c>
      <c r="N77" s="18">
        <f t="shared" si="10"/>
        <v>346.25785690833686</v>
      </c>
      <c r="O77" s="91">
        <f t="shared" si="11"/>
        <v>-5.115173125058309</v>
      </c>
      <c r="P77" s="70">
        <f t="shared" si="12"/>
        <v>0.9196280872663324</v>
      </c>
      <c r="Q77" s="70">
        <f t="shared" si="13"/>
        <v>62.30588263668999</v>
      </c>
      <c r="R77" s="92">
        <f t="shared" si="14"/>
        <v>0.9675061444415687</v>
      </c>
      <c r="S77" s="92">
        <f t="shared" si="15"/>
        <v>-0.18161950873159044</v>
      </c>
      <c r="T77" s="92">
        <f t="shared" si="16"/>
        <v>-0.17592464521680118</v>
      </c>
      <c r="U77" s="92">
        <f t="shared" si="17"/>
        <v>-10.63178916528762</v>
      </c>
      <c r="V77" s="92">
        <f t="shared" si="18"/>
        <v>349.3682108347124</v>
      </c>
      <c r="W77" s="92">
        <f t="shared" si="19"/>
        <v>-10.132471227222432</v>
      </c>
      <c r="X77" s="92">
        <f t="shared" si="20"/>
        <v>60.03119203934209</v>
      </c>
      <c r="Y77" s="92">
        <f t="shared" si="21"/>
        <v>-11.382817512998045</v>
      </c>
      <c r="Z77" s="92">
        <f t="shared" si="22"/>
        <v>-11.927066124068407</v>
      </c>
      <c r="AA77" s="92">
        <f t="shared" si="23"/>
        <v>62.254055759657014</v>
      </c>
      <c r="AB77" s="92">
        <f t="shared" si="24"/>
        <v>-10.736678086367935</v>
      </c>
      <c r="AC77" s="92">
        <f t="shared" si="25"/>
        <v>349.26332191363207</v>
      </c>
      <c r="AD77" s="92">
        <f t="shared" si="26"/>
        <v>-11.045412653580625</v>
      </c>
      <c r="AE77" s="92">
        <f t="shared" si="27"/>
        <v>25.710435949498788</v>
      </c>
      <c r="AF77" s="92">
        <f t="shared" si="28"/>
        <v>0.043816844894069285</v>
      </c>
      <c r="AG77" s="92">
        <f t="shared" si="29"/>
        <v>2.5113243101518417</v>
      </c>
    </row>
    <row r="78" spans="3:33" ht="12.75">
      <c r="C78" s="11">
        <v>19</v>
      </c>
      <c r="D78" s="70">
        <f t="shared" si="0"/>
        <v>1102.2916666666667</v>
      </c>
      <c r="E78" s="70">
        <f t="shared" si="1"/>
        <v>286.93191529166666</v>
      </c>
      <c r="F78" s="70">
        <f t="shared" si="2"/>
        <v>3.946997354166797</v>
      </c>
      <c r="G78" s="70">
        <f t="shared" si="3"/>
        <v>287.0664785014932</v>
      </c>
      <c r="H78" s="70">
        <f t="shared" si="4"/>
        <v>288.4992068662529</v>
      </c>
      <c r="I78" s="70">
        <f t="shared" si="5"/>
        <v>-22.34915615137938</v>
      </c>
      <c r="J78" s="70">
        <f t="shared" si="6"/>
        <v>101.51561963715358</v>
      </c>
      <c r="K78" s="70">
        <f t="shared" si="7"/>
        <v>-0.4150812471170756</v>
      </c>
      <c r="L78" s="89">
        <f t="shared" si="8"/>
        <v>-24.5244331048046</v>
      </c>
      <c r="M78" s="90">
        <f t="shared" si="9"/>
        <v>0.030179101072324892</v>
      </c>
      <c r="N78" s="18">
        <f t="shared" si="10"/>
        <v>346.7712416379689</v>
      </c>
      <c r="O78" s="91">
        <f t="shared" si="11"/>
        <v>-5.108320142695624</v>
      </c>
      <c r="P78" s="70">
        <f t="shared" si="12"/>
        <v>0.91924385382346</v>
      </c>
      <c r="Q78" s="70">
        <f t="shared" si="13"/>
        <v>62.33192354877796</v>
      </c>
      <c r="R78" s="92">
        <f t="shared" si="14"/>
        <v>0.969597707201989</v>
      </c>
      <c r="S78" s="92">
        <f t="shared" si="15"/>
        <v>-0.17370662881679083</v>
      </c>
      <c r="T78" s="92">
        <f t="shared" si="16"/>
        <v>-0.17236401183998096</v>
      </c>
      <c r="U78" s="92">
        <f t="shared" si="17"/>
        <v>-10.156976923794886</v>
      </c>
      <c r="V78" s="92">
        <f t="shared" si="18"/>
        <v>349.8430230762051</v>
      </c>
      <c r="W78" s="92">
        <f t="shared" si="19"/>
        <v>-9.925296235770642</v>
      </c>
      <c r="X78" s="92">
        <f t="shared" si="20"/>
        <v>60.2126845081119</v>
      </c>
      <c r="Y78" s="92">
        <f t="shared" si="21"/>
        <v>-10.956918758316542</v>
      </c>
      <c r="Z78" s="92">
        <f t="shared" si="22"/>
        <v>-11.70970623485942</v>
      </c>
      <c r="AA78" s="92">
        <f t="shared" si="23"/>
        <v>62.311625435840405</v>
      </c>
      <c r="AB78" s="92">
        <f t="shared" si="24"/>
        <v>-10.31328168269774</v>
      </c>
      <c r="AC78" s="92">
        <f t="shared" si="25"/>
        <v>349.6867183173023</v>
      </c>
      <c r="AD78" s="92">
        <f t="shared" si="26"/>
        <v>-10.831521442372658</v>
      </c>
      <c r="AE78" s="92">
        <f t="shared" si="27"/>
        <v>40.32810818607686</v>
      </c>
      <c r="AF78" s="92">
        <f t="shared" si="28"/>
        <v>0.012277234172075074</v>
      </c>
      <c r="AG78" s="92">
        <f t="shared" si="29"/>
        <v>0.7034513748355701</v>
      </c>
    </row>
    <row r="79" spans="3:33" ht="12.75">
      <c r="C79" s="11">
        <v>20</v>
      </c>
      <c r="D79" s="70">
        <f t="shared" si="0"/>
        <v>1102.3333333333333</v>
      </c>
      <c r="E79" s="70">
        <f t="shared" si="1"/>
        <v>286.9729839333331</v>
      </c>
      <c r="F79" s="70">
        <f t="shared" si="2"/>
        <v>3.9880640333333304</v>
      </c>
      <c r="G79" s="70">
        <f t="shared" si="3"/>
        <v>287.1089448229702</v>
      </c>
      <c r="H79" s="70">
        <f t="shared" si="4"/>
        <v>288.5447549050784</v>
      </c>
      <c r="I79" s="70">
        <f t="shared" si="5"/>
        <v>-22.343789787208756</v>
      </c>
      <c r="J79" s="70">
        <f t="shared" si="6"/>
        <v>116.51114023849368</v>
      </c>
      <c r="K79" s="70">
        <f t="shared" si="7"/>
        <v>-0.4740649225664415</v>
      </c>
      <c r="L79" s="89">
        <f t="shared" si="8"/>
        <v>-28.29848467702507</v>
      </c>
      <c r="M79" s="90">
        <f t="shared" si="9"/>
        <v>0.030180241843486194</v>
      </c>
      <c r="N79" s="18">
        <f t="shared" si="10"/>
        <v>347.284144812699</v>
      </c>
      <c r="O79" s="91">
        <f t="shared" si="11"/>
        <v>-5.10107283923562</v>
      </c>
      <c r="P79" s="70">
        <f t="shared" si="12"/>
        <v>0.9188632590949156</v>
      </c>
      <c r="Q79" s="70">
        <f t="shared" si="13"/>
        <v>62.35773932298355</v>
      </c>
      <c r="R79" s="92">
        <f t="shared" si="14"/>
        <v>0.971610209299621</v>
      </c>
      <c r="S79" s="92">
        <f t="shared" si="15"/>
        <v>-0.1657871290185591</v>
      </c>
      <c r="T79" s="92">
        <f t="shared" si="16"/>
        <v>-0.16879303518751793</v>
      </c>
      <c r="U79" s="92">
        <f t="shared" si="17"/>
        <v>-9.68319740742986</v>
      </c>
      <c r="V79" s="92">
        <f t="shared" si="18"/>
        <v>350.3168025925701</v>
      </c>
      <c r="W79" s="92">
        <f t="shared" si="19"/>
        <v>-9.717650991920072</v>
      </c>
      <c r="X79" s="92">
        <f t="shared" si="20"/>
        <v>60.40449290800684</v>
      </c>
      <c r="Y79" s="92">
        <f t="shared" si="21"/>
        <v>-10.521286512676438</v>
      </c>
      <c r="Z79" s="92">
        <f t="shared" si="22"/>
        <v>-11.4914779140475</v>
      </c>
      <c r="AA79" s="92">
        <f t="shared" si="23"/>
        <v>62.38152208790931</v>
      </c>
      <c r="AB79" s="92">
        <f t="shared" si="24"/>
        <v>-9.880682116321397</v>
      </c>
      <c r="AC79" s="92">
        <f t="shared" si="25"/>
        <v>350.1193178836786</v>
      </c>
      <c r="AD79" s="92">
        <f t="shared" si="26"/>
        <v>-10.615243252747655</v>
      </c>
      <c r="AE79" s="92">
        <f t="shared" si="27"/>
        <v>54.936577259912156</v>
      </c>
      <c r="AF79" s="92">
        <f t="shared" si="28"/>
        <v>-0.031793425347625526</v>
      </c>
      <c r="AG79" s="92">
        <f t="shared" si="29"/>
        <v>-1.8219361187904515</v>
      </c>
    </row>
    <row r="80" spans="3:33" ht="12.75">
      <c r="C80" s="11">
        <v>21</v>
      </c>
      <c r="D80" s="70">
        <f t="shared" si="0"/>
        <v>1102.375</v>
      </c>
      <c r="E80" s="70">
        <f t="shared" si="1"/>
        <v>287.01405257500005</v>
      </c>
      <c r="F80" s="70">
        <f t="shared" si="2"/>
        <v>4.029130712500091</v>
      </c>
      <c r="G80" s="70">
        <f t="shared" si="3"/>
        <v>287.15141107032366</v>
      </c>
      <c r="H80" s="70">
        <f t="shared" si="4"/>
        <v>288.59029938417564</v>
      </c>
      <c r="I80" s="70">
        <f t="shared" si="5"/>
        <v>-22.338410702540582</v>
      </c>
      <c r="J80" s="70">
        <f t="shared" si="6"/>
        <v>131.5066643996979</v>
      </c>
      <c r="K80" s="70">
        <f t="shared" si="7"/>
        <v>-0.5257749863305867</v>
      </c>
      <c r="L80" s="89">
        <f t="shared" si="8"/>
        <v>-31.720429616098563</v>
      </c>
      <c r="M80" s="90">
        <f t="shared" si="9"/>
        <v>0.030181382614647503</v>
      </c>
      <c r="N80" s="18">
        <f t="shared" si="10"/>
        <v>347.79657022386874</v>
      </c>
      <c r="O80" s="91">
        <f t="shared" si="11"/>
        <v>-5.0934328029873415</v>
      </c>
      <c r="P80" s="70">
        <f t="shared" si="12"/>
        <v>0.9184863525844481</v>
      </c>
      <c r="Q80" s="70">
        <f t="shared" si="13"/>
        <v>62.38332601059712</v>
      </c>
      <c r="R80" s="92">
        <f t="shared" si="14"/>
        <v>0.9735437193021328</v>
      </c>
      <c r="S80" s="92">
        <f t="shared" si="15"/>
        <v>-0.15786160883705608</v>
      </c>
      <c r="T80" s="92">
        <f t="shared" si="16"/>
        <v>-0.1652120050294157</v>
      </c>
      <c r="U80" s="92">
        <f t="shared" si="17"/>
        <v>-9.210433270565437</v>
      </c>
      <c r="V80" s="92">
        <f t="shared" si="18"/>
        <v>350.78956672943457</v>
      </c>
      <c r="W80" s="92">
        <f t="shared" si="19"/>
        <v>-9.509550489155075</v>
      </c>
      <c r="X80" s="92">
        <f t="shared" si="20"/>
        <v>60.60378193972307</v>
      </c>
      <c r="Y80" s="92">
        <f t="shared" si="21"/>
        <v>-10.072281256721004</v>
      </c>
      <c r="Z80" s="92">
        <f t="shared" si="22"/>
        <v>-11.272400196903519</v>
      </c>
      <c r="AA80" s="92">
        <f t="shared" si="23"/>
        <v>62.460677560455174</v>
      </c>
      <c r="AB80" s="92">
        <f t="shared" si="24"/>
        <v>-9.436242942212303</v>
      </c>
      <c r="AC80" s="92">
        <f t="shared" si="25"/>
        <v>350.5637570577877</v>
      </c>
      <c r="AD80" s="92">
        <f t="shared" si="26"/>
        <v>-10.397250681908234</v>
      </c>
      <c r="AE80" s="92">
        <f t="shared" si="27"/>
        <v>69.53320672613336</v>
      </c>
      <c r="AF80" s="92">
        <f t="shared" si="28"/>
        <v>-0.08530869006664792</v>
      </c>
      <c r="AG80" s="92">
        <f t="shared" si="29"/>
        <v>-4.893775983771728</v>
      </c>
    </row>
    <row r="81" spans="3:33" ht="12.75">
      <c r="C81" s="11">
        <v>22</v>
      </c>
      <c r="D81" s="70">
        <f t="shared" si="0"/>
        <v>1102.4166666666667</v>
      </c>
      <c r="E81" s="70">
        <f t="shared" si="1"/>
        <v>287.05512121666675</v>
      </c>
      <c r="F81" s="70">
        <f t="shared" si="2"/>
        <v>4.070197391666852</v>
      </c>
      <c r="G81" s="70">
        <f t="shared" si="3"/>
        <v>287.1938772427909</v>
      </c>
      <c r="H81" s="70">
        <f t="shared" si="4"/>
        <v>288.63584029560144</v>
      </c>
      <c r="I81" s="70">
        <f t="shared" si="5"/>
        <v>-22.333018901919203</v>
      </c>
      <c r="J81" s="70">
        <f t="shared" si="6"/>
        <v>146.5021921286243</v>
      </c>
      <c r="K81" s="70">
        <f t="shared" si="7"/>
        <v>-0.5666831695501396</v>
      </c>
      <c r="L81" s="89">
        <f t="shared" si="8"/>
        <v>-34.51925542934683</v>
      </c>
      <c r="M81" s="90">
        <f t="shared" si="9"/>
        <v>0.030182523385808808</v>
      </c>
      <c r="N81" s="18">
        <f t="shared" si="10"/>
        <v>348.3085217318439</v>
      </c>
      <c r="O81" s="91">
        <f t="shared" si="11"/>
        <v>-5.085401636104375</v>
      </c>
      <c r="P81" s="70">
        <f t="shared" si="12"/>
        <v>0.9181131832601184</v>
      </c>
      <c r="Q81" s="70">
        <f t="shared" si="13"/>
        <v>62.40867969278219</v>
      </c>
      <c r="R81" s="92">
        <f t="shared" si="14"/>
        <v>0.975398310157546</v>
      </c>
      <c r="S81" s="92">
        <f t="shared" si="15"/>
        <v>-0.1499306639358606</v>
      </c>
      <c r="T81" s="92">
        <f t="shared" si="16"/>
        <v>-0.1616212097230803</v>
      </c>
      <c r="U81" s="92">
        <f t="shared" si="17"/>
        <v>-8.73866709180583</v>
      </c>
      <c r="V81" s="92">
        <f t="shared" si="18"/>
        <v>351.26133290819416</v>
      </c>
      <c r="W81" s="92">
        <f t="shared" si="19"/>
        <v>-9.30100956598044</v>
      </c>
      <c r="X81" s="92">
        <f t="shared" si="20"/>
        <v>60.80685828992787</v>
      </c>
      <c r="Y81" s="92">
        <f t="shared" si="21"/>
        <v>-9.607123508856807</v>
      </c>
      <c r="Z81" s="92">
        <f t="shared" si="22"/>
        <v>-11.052492135456761</v>
      </c>
      <c r="AA81" s="92">
        <f t="shared" si="23"/>
        <v>62.545410859711616</v>
      </c>
      <c r="AB81" s="92">
        <f t="shared" si="24"/>
        <v>-8.97817990655853</v>
      </c>
      <c r="AC81" s="92">
        <f t="shared" si="25"/>
        <v>351.0218200934415</v>
      </c>
      <c r="AD81" s="92">
        <f t="shared" si="26"/>
        <v>-10.178271089885397</v>
      </c>
      <c r="AE81" s="92">
        <f t="shared" si="27"/>
        <v>84.11621233075857</v>
      </c>
      <c r="AF81" s="92">
        <f t="shared" si="28"/>
        <v>-0.14457590385336477</v>
      </c>
      <c r="AG81" s="92">
        <f t="shared" si="29"/>
        <v>-8.312721497816753</v>
      </c>
    </row>
    <row r="82" spans="3:33" ht="12.75">
      <c r="C82" s="11">
        <v>23</v>
      </c>
      <c r="D82" s="70">
        <f t="shared" si="0"/>
        <v>1102.4583333333333</v>
      </c>
      <c r="E82" s="70">
        <f t="shared" si="1"/>
        <v>287.0961898583332</v>
      </c>
      <c r="F82" s="70">
        <f t="shared" si="2"/>
        <v>4.111264070833158</v>
      </c>
      <c r="G82" s="70">
        <f t="shared" si="3"/>
        <v>287.23634333961036</v>
      </c>
      <c r="H82" s="70">
        <f t="shared" si="4"/>
        <v>288.68137763142465</v>
      </c>
      <c r="I82" s="70">
        <f t="shared" si="5"/>
        <v>-22.327614389898926</v>
      </c>
      <c r="J82" s="70">
        <f t="shared" si="6"/>
        <v>161.49772343295626</v>
      </c>
      <c r="K82" s="70">
        <f t="shared" si="7"/>
        <v>-0.5939966312207476</v>
      </c>
      <c r="L82" s="89">
        <f t="shared" si="8"/>
        <v>-36.44113722166538</v>
      </c>
      <c r="M82" s="90">
        <f t="shared" si="9"/>
        <v>0.03018366415697011</v>
      </c>
      <c r="N82" s="18">
        <f t="shared" si="10"/>
        <v>348.82000326559165</v>
      </c>
      <c r="O82" s="91">
        <f t="shared" si="11"/>
        <v>-5.076980954118909</v>
      </c>
      <c r="P82" s="70">
        <f t="shared" si="12"/>
        <v>0.9177437995460241</v>
      </c>
      <c r="Q82" s="70">
        <f t="shared" si="13"/>
        <v>62.433796481556136</v>
      </c>
      <c r="R82" s="92">
        <f t="shared" si="14"/>
        <v>0.9771740590930152</v>
      </c>
      <c r="S82" s="92">
        <f t="shared" si="15"/>
        <v>-0.1419948861460526</v>
      </c>
      <c r="T82" s="92">
        <f t="shared" si="16"/>
        <v>-0.1580209362065582</v>
      </c>
      <c r="U82" s="92">
        <f t="shared" si="17"/>
        <v>-8.267881377651333</v>
      </c>
      <c r="V82" s="92">
        <f t="shared" si="18"/>
        <v>351.73211862234865</v>
      </c>
      <c r="W82" s="92">
        <f t="shared" si="19"/>
        <v>-9.092042907572562</v>
      </c>
      <c r="X82" s="92">
        <f t="shared" si="20"/>
        <v>61.009423238343956</v>
      </c>
      <c r="Y82" s="92">
        <f t="shared" si="21"/>
        <v>-9.124087121447536</v>
      </c>
      <c r="Z82" s="92">
        <f t="shared" si="22"/>
        <v>-10.831772797234287</v>
      </c>
      <c r="AA82" s="92">
        <f t="shared" si="23"/>
        <v>62.6316692385414</v>
      </c>
      <c r="AB82" s="92">
        <f t="shared" si="24"/>
        <v>-8.50566566553489</v>
      </c>
      <c r="AC82" s="92">
        <f t="shared" si="25"/>
        <v>351.4943343344651</v>
      </c>
      <c r="AD82" s="92">
        <f t="shared" si="26"/>
        <v>-9.959035055456516</v>
      </c>
      <c r="AE82" s="92">
        <f t="shared" si="27"/>
        <v>98.68476672994439</v>
      </c>
      <c r="AF82" s="92">
        <f t="shared" si="28"/>
        <v>-0.2055433682250156</v>
      </c>
      <c r="AG82" s="92">
        <f t="shared" si="29"/>
        <v>-11.861309150307525</v>
      </c>
    </row>
    <row r="83" spans="3:33" ht="12.75">
      <c r="C83" s="11">
        <v>24</v>
      </c>
      <c r="D83" s="70">
        <f t="shared" si="0"/>
        <v>1102.5</v>
      </c>
      <c r="E83" s="70">
        <f t="shared" si="1"/>
        <v>287.1372584999999</v>
      </c>
      <c r="F83" s="70">
        <f t="shared" si="2"/>
        <v>4.152330749999919</v>
      </c>
      <c r="G83" s="70">
        <f t="shared" si="3"/>
        <v>287.27880936002083</v>
      </c>
      <c r="H83" s="70">
        <f t="shared" si="4"/>
        <v>288.7269113837252</v>
      </c>
      <c r="I83" s="70">
        <f t="shared" si="5"/>
        <v>-22.32219717104411</v>
      </c>
      <c r="J83" s="70">
        <f t="shared" si="6"/>
        <v>176.49325832095928</v>
      </c>
      <c r="K83" s="70">
        <f t="shared" si="7"/>
        <v>-0.6058482369220155</v>
      </c>
      <c r="L83" s="89">
        <f t="shared" si="8"/>
        <v>-37.289905095064604</v>
      </c>
      <c r="M83" s="90">
        <f t="shared" si="9"/>
        <v>0.030184804928131418</v>
      </c>
      <c r="N83" s="18">
        <f t="shared" si="10"/>
        <v>349.33101882222905</v>
      </c>
      <c r="O83" s="91">
        <f t="shared" si="11"/>
        <v>-5.06817238548293</v>
      </c>
      <c r="P83" s="70">
        <f t="shared" si="12"/>
        <v>0.9173782493141382</v>
      </c>
      <c r="Q83" s="70">
        <f t="shared" si="13"/>
        <v>62.45867252076713</v>
      </c>
      <c r="R83" s="92">
        <f t="shared" si="14"/>
        <v>0.978871047514516</v>
      </c>
      <c r="S83" s="92">
        <f t="shared" si="15"/>
        <v>-0.13405486347241613</v>
      </c>
      <c r="T83" s="92">
        <f t="shared" si="16"/>
        <v>-0.15441146999283303</v>
      </c>
      <c r="U83" s="92">
        <f t="shared" si="17"/>
        <v>-7.798058566054581</v>
      </c>
      <c r="V83" s="92">
        <f t="shared" si="18"/>
        <v>352.2019414339454</v>
      </c>
      <c r="W83" s="92">
        <f t="shared" si="19"/>
        <v>-8.882665047492491</v>
      </c>
      <c r="X83" s="92">
        <f t="shared" si="20"/>
        <v>61.206866773654156</v>
      </c>
      <c r="Y83" s="92">
        <f t="shared" si="21"/>
        <v>-8.62262039984359</v>
      </c>
      <c r="Z83" s="92">
        <f t="shared" si="22"/>
        <v>-10.610261264021686</v>
      </c>
      <c r="AA83" s="92">
        <f t="shared" si="23"/>
        <v>62.71529133232538</v>
      </c>
      <c r="AB83" s="92">
        <f t="shared" si="24"/>
        <v>-8.018869130685566</v>
      </c>
      <c r="AC83" s="92">
        <f t="shared" si="25"/>
        <v>351.9811308693144</v>
      </c>
      <c r="AD83" s="92">
        <f t="shared" si="26"/>
        <v>-9.740227784675795</v>
      </c>
      <c r="AE83" s="92">
        <f t="shared" si="27"/>
        <v>113.23903883539606</v>
      </c>
      <c r="AF83" s="92">
        <f t="shared" si="28"/>
        <v>-0.2640663316583377</v>
      </c>
      <c r="AG83" s="92">
        <f t="shared" si="29"/>
        <v>-15.311481461529173</v>
      </c>
    </row>
  </sheetData>
  <sheetProtection objects="1"/>
  <mergeCells count="3">
    <mergeCell ref="A4:B4"/>
    <mergeCell ref="A18:B18"/>
    <mergeCell ref="A10:B10"/>
  </mergeCells>
  <printOptions/>
  <pageMargins left="0.75" right="0.75" top="1" bottom="1" header="0.5" footer="0.5"/>
  <pageSetup horizontalDpi="300" verticalDpi="300" orientation="landscape" paperSize="8" scale="15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Burnett</dc:creator>
  <cp:keywords/>
  <dc:description/>
  <cp:lastModifiedBy>Keith Burnett</cp:lastModifiedBy>
  <cp:lastPrinted>2002-12-12T21:53:30Z</cp:lastPrinted>
  <dcterms:created xsi:type="dcterms:W3CDTF">2001-07-31T18:19:39Z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